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37C313E0-F59D-4988-808D-838DD660FA8F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Specs!$B$1:$AE$124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0" i="100" l="1"/>
  <c r="AD10" i="100" l="1"/>
  <c r="AE10" i="100"/>
  <c r="Z10" i="100"/>
  <c r="O10" i="100"/>
  <c r="L10" i="100"/>
  <c r="M10" i="100"/>
  <c r="K10" i="100"/>
  <c r="P10" i="100"/>
  <c r="A20" i="100"/>
  <c r="AD20" i="100" l="1"/>
  <c r="AE20" i="100"/>
  <c r="Z20" i="100"/>
  <c r="O20" i="100"/>
  <c r="L20" i="100"/>
  <c r="M20" i="100"/>
  <c r="K20" i="100"/>
  <c r="P20" i="100"/>
  <c r="AG16" i="100"/>
  <c r="AG17" i="100"/>
  <c r="AG18" i="100"/>
  <c r="I16" i="100"/>
  <c r="I17" i="100"/>
  <c r="I18" i="100"/>
  <c r="H16" i="100"/>
  <c r="H17" i="100"/>
  <c r="H18" i="100"/>
  <c r="G16" i="100"/>
  <c r="G17" i="100"/>
  <c r="G18" i="100"/>
  <c r="F16" i="100"/>
  <c r="F17" i="100"/>
  <c r="F18" i="100"/>
  <c r="C16" i="100"/>
  <c r="C17" i="100"/>
  <c r="C18" i="100"/>
  <c r="B16" i="100"/>
  <c r="B17" i="100"/>
  <c r="B18" i="100"/>
  <c r="M18" i="100" s="1"/>
  <c r="Q16" i="100"/>
  <c r="Q17" i="100"/>
  <c r="AE18" i="100"/>
  <c r="AD18" i="100"/>
  <c r="Z18" i="100"/>
  <c r="P18" i="100"/>
  <c r="O18" i="100"/>
  <c r="L18" i="100"/>
  <c r="A18" i="100"/>
  <c r="AE17" i="100"/>
  <c r="AD17" i="100"/>
  <c r="Z17" i="100"/>
  <c r="P17" i="100"/>
  <c r="O17" i="100"/>
  <c r="M17" i="100"/>
  <c r="L17" i="100"/>
  <c r="K17" i="100"/>
  <c r="A17" i="100"/>
  <c r="A26" i="100"/>
  <c r="K18" i="100" l="1"/>
  <c r="AD26" i="100"/>
  <c r="Z26" i="100"/>
  <c r="AE26" i="100"/>
  <c r="O26" i="100"/>
  <c r="P26" i="100"/>
  <c r="L26" i="100"/>
  <c r="K26" i="100"/>
  <c r="M26" i="100"/>
  <c r="A29" i="100"/>
  <c r="AE29" i="100" l="1"/>
  <c r="Z29" i="100"/>
  <c r="AD29" i="100"/>
  <c r="P29" i="100"/>
  <c r="O29" i="100"/>
  <c r="L29" i="100"/>
  <c r="M29" i="100"/>
  <c r="K29" i="100"/>
  <c r="A31" i="100"/>
  <c r="AD31" i="100" l="1"/>
  <c r="Z31" i="100"/>
  <c r="AE31" i="100"/>
  <c r="K31" i="100"/>
  <c r="M31" i="100"/>
  <c r="L31" i="100"/>
  <c r="P31" i="100"/>
  <c r="O31" i="100"/>
  <c r="A33" i="100"/>
  <c r="AD33" i="100" l="1"/>
  <c r="AE33" i="100"/>
  <c r="Z33" i="100"/>
  <c r="P33" i="100"/>
  <c r="O33" i="100"/>
  <c r="L33" i="100"/>
  <c r="K33" i="100"/>
  <c r="M33" i="100"/>
  <c r="A35" i="100"/>
  <c r="Z35" i="100" l="1"/>
  <c r="AE35" i="100"/>
  <c r="AD35" i="100"/>
  <c r="M35" i="100"/>
  <c r="L35" i="100"/>
  <c r="K35" i="100"/>
  <c r="O35" i="100"/>
  <c r="P35" i="100"/>
  <c r="AG40" i="100"/>
  <c r="AG41" i="100"/>
  <c r="AG42" i="100"/>
  <c r="I40" i="100"/>
  <c r="I41" i="100"/>
  <c r="I42" i="100"/>
  <c r="H40" i="100"/>
  <c r="H41" i="100"/>
  <c r="H42" i="100"/>
  <c r="G40" i="100"/>
  <c r="G41" i="100"/>
  <c r="G42" i="100"/>
  <c r="F40" i="100"/>
  <c r="F41" i="100"/>
  <c r="F42" i="100"/>
  <c r="C40" i="100"/>
  <c r="C41" i="100"/>
  <c r="C42" i="100"/>
  <c r="B40" i="100"/>
  <c r="B41" i="100"/>
  <c r="K41" i="100" s="1"/>
  <c r="B42" i="100"/>
  <c r="L42" i="100" s="1"/>
  <c r="Q40" i="100"/>
  <c r="Q41" i="100"/>
  <c r="Q42" i="100"/>
  <c r="AE42" i="100"/>
  <c r="AD42" i="100"/>
  <c r="Z42" i="100"/>
  <c r="P42" i="100"/>
  <c r="O42" i="100"/>
  <c r="M42" i="100"/>
  <c r="A42" i="100"/>
  <c r="AE41" i="100"/>
  <c r="AD41" i="100"/>
  <c r="Z41" i="100"/>
  <c r="P41" i="100"/>
  <c r="O41" i="100"/>
  <c r="A41" i="100"/>
  <c r="A52" i="100"/>
  <c r="L41" i="100" l="1"/>
  <c r="K42" i="100"/>
  <c r="M41" i="100"/>
  <c r="AD52" i="100"/>
  <c r="AE52" i="100"/>
  <c r="Z52" i="100"/>
  <c r="O52" i="100"/>
  <c r="P52" i="100"/>
  <c r="K52" i="100"/>
  <c r="L52" i="100"/>
  <c r="M52" i="100"/>
  <c r="AG47" i="100"/>
  <c r="AG48" i="100"/>
  <c r="AG49" i="100"/>
  <c r="I47" i="100"/>
  <c r="I48" i="100"/>
  <c r="I49" i="100"/>
  <c r="H47" i="100"/>
  <c r="H48" i="100"/>
  <c r="H49" i="100"/>
  <c r="G47" i="100"/>
  <c r="G48" i="100"/>
  <c r="G49" i="100"/>
  <c r="F47" i="100"/>
  <c r="F48" i="100"/>
  <c r="F49" i="100"/>
  <c r="C47" i="100"/>
  <c r="C48" i="100"/>
  <c r="C49" i="100"/>
  <c r="B47" i="100"/>
  <c r="B48" i="100"/>
  <c r="M48" i="100" s="1"/>
  <c r="B49" i="100"/>
  <c r="M49" i="100" s="1"/>
  <c r="R47" i="100"/>
  <c r="R48" i="100"/>
  <c r="R49" i="100"/>
  <c r="Q47" i="100"/>
  <c r="Q48" i="100"/>
  <c r="O48" i="100" s="1"/>
  <c r="Q49" i="100"/>
  <c r="AE49" i="100"/>
  <c r="AD49" i="100"/>
  <c r="Z49" i="100"/>
  <c r="P49" i="100"/>
  <c r="O49" i="100"/>
  <c r="L49" i="100"/>
  <c r="K49" i="100"/>
  <c r="A49" i="100"/>
  <c r="AE48" i="100"/>
  <c r="AD48" i="100"/>
  <c r="Z48" i="100"/>
  <c r="P48" i="100"/>
  <c r="L48" i="100"/>
  <c r="K48" i="100"/>
  <c r="A48" i="100"/>
  <c r="A58" i="100"/>
  <c r="AE58" i="100" l="1"/>
  <c r="Z58" i="100"/>
  <c r="M58" i="100"/>
  <c r="K58" i="100"/>
  <c r="L58" i="100"/>
  <c r="AD58" i="100"/>
  <c r="P58" i="100"/>
  <c r="O58" i="100"/>
  <c r="AG70" i="100"/>
  <c r="AG71" i="100"/>
  <c r="AG72" i="100"/>
  <c r="P72" i="100" s="1"/>
  <c r="AG73" i="100"/>
  <c r="AG74" i="100"/>
  <c r="P74" i="100" s="1"/>
  <c r="I70" i="100"/>
  <c r="I71" i="100"/>
  <c r="I72" i="100"/>
  <c r="I73" i="100"/>
  <c r="I74" i="100"/>
  <c r="H70" i="100"/>
  <c r="H71" i="100"/>
  <c r="H72" i="100"/>
  <c r="H73" i="100"/>
  <c r="H74" i="100"/>
  <c r="G70" i="100"/>
  <c r="G71" i="100"/>
  <c r="G72" i="100"/>
  <c r="G73" i="100"/>
  <c r="G74" i="100"/>
  <c r="F70" i="100"/>
  <c r="F71" i="100"/>
  <c r="F72" i="100"/>
  <c r="F73" i="100"/>
  <c r="F74" i="100"/>
  <c r="C70" i="100"/>
  <c r="C71" i="100"/>
  <c r="C72" i="100"/>
  <c r="C73" i="100"/>
  <c r="C74" i="100"/>
  <c r="B70" i="100"/>
  <c r="B71" i="100"/>
  <c r="B72" i="100"/>
  <c r="M72" i="100" s="1"/>
  <c r="B73" i="100"/>
  <c r="K73" i="100" s="1"/>
  <c r="B74" i="100"/>
  <c r="M74" i="100" s="1"/>
  <c r="Q70" i="100"/>
  <c r="Q71" i="100"/>
  <c r="O71" i="100" s="1"/>
  <c r="Q72" i="100"/>
  <c r="Q73" i="100"/>
  <c r="O73" i="100" s="1"/>
  <c r="Q74" i="100"/>
  <c r="AE74" i="100"/>
  <c r="AD74" i="100"/>
  <c r="Z74" i="100"/>
  <c r="O74" i="100"/>
  <c r="A74" i="100"/>
  <c r="AE73" i="100"/>
  <c r="AD73" i="100"/>
  <c r="Z73" i="100"/>
  <c r="P73" i="100"/>
  <c r="M73" i="100"/>
  <c r="A73" i="100"/>
  <c r="AE72" i="100"/>
  <c r="AD72" i="100"/>
  <c r="Z72" i="100"/>
  <c r="O72" i="100"/>
  <c r="L72" i="100"/>
  <c r="K72" i="100"/>
  <c r="A72" i="100"/>
  <c r="AE71" i="100"/>
  <c r="AD71" i="100"/>
  <c r="Z71" i="100"/>
  <c r="P71" i="100"/>
  <c r="M71" i="100"/>
  <c r="L71" i="100"/>
  <c r="K71" i="100"/>
  <c r="A71" i="100"/>
  <c r="A77" i="100"/>
  <c r="L73" i="100" l="1"/>
  <c r="K74" i="100"/>
  <c r="L74" i="100"/>
  <c r="Z77" i="100"/>
  <c r="AE77" i="100"/>
  <c r="AD77" i="100"/>
  <c r="O77" i="100"/>
  <c r="P77" i="100"/>
  <c r="L77" i="100"/>
  <c r="M77" i="100"/>
  <c r="K77" i="100"/>
  <c r="A79" i="100"/>
  <c r="Z79" i="100" l="1"/>
  <c r="AE79" i="100"/>
  <c r="AD79" i="100"/>
  <c r="O79" i="100"/>
  <c r="L79" i="100"/>
  <c r="M79" i="100"/>
  <c r="K79" i="100"/>
  <c r="P79" i="100"/>
  <c r="AG80" i="100"/>
  <c r="AG81" i="100"/>
  <c r="P81" i="100" s="1"/>
  <c r="AG82" i="100"/>
  <c r="P82" i="100" s="1"/>
  <c r="I80" i="100"/>
  <c r="I81" i="100"/>
  <c r="I82" i="100"/>
  <c r="H80" i="100"/>
  <c r="H81" i="100"/>
  <c r="H82" i="100"/>
  <c r="G80" i="100"/>
  <c r="G81" i="100"/>
  <c r="G82" i="100"/>
  <c r="F80" i="100"/>
  <c r="F81" i="100"/>
  <c r="F82" i="100"/>
  <c r="C80" i="100"/>
  <c r="C81" i="100"/>
  <c r="C82" i="100"/>
  <c r="B80" i="100"/>
  <c r="B81" i="100"/>
  <c r="B82" i="100"/>
  <c r="L82" i="100" s="1"/>
  <c r="Q80" i="100"/>
  <c r="Q81" i="100"/>
  <c r="Q82" i="100"/>
  <c r="AE82" i="100"/>
  <c r="AD82" i="100"/>
  <c r="Z82" i="100"/>
  <c r="O82" i="100"/>
  <c r="M82" i="100"/>
  <c r="A82" i="100"/>
  <c r="AE81" i="100"/>
  <c r="AD81" i="100"/>
  <c r="Z81" i="100"/>
  <c r="O81" i="100"/>
  <c r="M81" i="100"/>
  <c r="L81" i="100"/>
  <c r="K81" i="100"/>
  <c r="A81" i="100"/>
  <c r="AG84" i="100"/>
  <c r="AG85" i="100"/>
  <c r="AG86" i="100"/>
  <c r="I84" i="100"/>
  <c r="I85" i="100"/>
  <c r="I86" i="100"/>
  <c r="H84" i="100"/>
  <c r="H85" i="100"/>
  <c r="H86" i="100"/>
  <c r="G84" i="100"/>
  <c r="G85" i="100"/>
  <c r="G86" i="100"/>
  <c r="F84" i="100"/>
  <c r="F85" i="100"/>
  <c r="F86" i="100"/>
  <c r="C84" i="100"/>
  <c r="C85" i="100"/>
  <c r="C86" i="100"/>
  <c r="B84" i="100"/>
  <c r="B85" i="100"/>
  <c r="K85" i="100" s="1"/>
  <c r="B86" i="100"/>
  <c r="M86" i="100" s="1"/>
  <c r="Q84" i="100"/>
  <c r="Q85" i="100"/>
  <c r="O85" i="100" s="1"/>
  <c r="Q86" i="100"/>
  <c r="O86" i="100" s="1"/>
  <c r="AE86" i="100"/>
  <c r="AD86" i="100"/>
  <c r="Z86" i="100"/>
  <c r="P86" i="100"/>
  <c r="L86" i="100"/>
  <c r="K86" i="100"/>
  <c r="A86" i="100"/>
  <c r="AE85" i="100"/>
  <c r="AD85" i="100"/>
  <c r="Z85" i="100"/>
  <c r="P85" i="100"/>
  <c r="L85" i="100"/>
  <c r="A85" i="100"/>
  <c r="AG88" i="100"/>
  <c r="AG89" i="100"/>
  <c r="AG90" i="100"/>
  <c r="AG91" i="100"/>
  <c r="I88" i="100"/>
  <c r="I89" i="100"/>
  <c r="I90" i="100"/>
  <c r="I91" i="100"/>
  <c r="H88" i="100"/>
  <c r="H89" i="100"/>
  <c r="H90" i="100"/>
  <c r="H91" i="100"/>
  <c r="G88" i="100"/>
  <c r="G89" i="100"/>
  <c r="G90" i="100"/>
  <c r="G91" i="100"/>
  <c r="F88" i="100"/>
  <c r="F89" i="100"/>
  <c r="F90" i="100"/>
  <c r="F91" i="100"/>
  <c r="C88" i="100"/>
  <c r="C89" i="100"/>
  <c r="C90" i="100"/>
  <c r="C91" i="100"/>
  <c r="B88" i="100"/>
  <c r="B89" i="100"/>
  <c r="L89" i="100" s="1"/>
  <c r="B90" i="100"/>
  <c r="M90" i="100" s="1"/>
  <c r="B91" i="100"/>
  <c r="Q88" i="100"/>
  <c r="Q89" i="100"/>
  <c r="O89" i="100" s="1"/>
  <c r="Q90" i="100"/>
  <c r="Q91" i="100"/>
  <c r="AE91" i="100"/>
  <c r="AD91" i="100"/>
  <c r="Z91" i="100"/>
  <c r="P91" i="100"/>
  <c r="O91" i="100"/>
  <c r="M91" i="100"/>
  <c r="L91" i="100"/>
  <c r="K91" i="100"/>
  <c r="A91" i="100"/>
  <c r="AE90" i="100"/>
  <c r="AD90" i="100"/>
  <c r="Z90" i="100"/>
  <c r="P90" i="100"/>
  <c r="O90" i="100"/>
  <c r="A90" i="100"/>
  <c r="AE89" i="100"/>
  <c r="AD89" i="100"/>
  <c r="Z89" i="100"/>
  <c r="P89" i="100"/>
  <c r="K89" i="100"/>
  <c r="A89" i="100"/>
  <c r="A68" i="100"/>
  <c r="M85" i="100" l="1"/>
  <c r="K82" i="100"/>
  <c r="K90" i="100"/>
  <c r="M89" i="100"/>
  <c r="L90" i="100"/>
  <c r="AE68" i="100"/>
  <c r="Z68" i="100"/>
  <c r="M68" i="100"/>
  <c r="K68" i="100"/>
  <c r="L68" i="100"/>
  <c r="AD68" i="100"/>
  <c r="P68" i="100"/>
  <c r="O68" i="100"/>
  <c r="AG101" i="100"/>
  <c r="AG102" i="100"/>
  <c r="AG103" i="100"/>
  <c r="I101" i="100"/>
  <c r="I102" i="100"/>
  <c r="I103" i="100"/>
  <c r="H101" i="100"/>
  <c r="H102" i="100"/>
  <c r="H103" i="100"/>
  <c r="G101" i="100"/>
  <c r="G102" i="100"/>
  <c r="G103" i="100"/>
  <c r="F101" i="100"/>
  <c r="F102" i="100"/>
  <c r="F103" i="100"/>
  <c r="C101" i="100"/>
  <c r="C102" i="100"/>
  <c r="C103" i="100"/>
  <c r="B101" i="100"/>
  <c r="B102" i="100"/>
  <c r="M102" i="100" s="1"/>
  <c r="B103" i="100"/>
  <c r="L103" i="100" s="1"/>
  <c r="Q101" i="100"/>
  <c r="Q102" i="100"/>
  <c r="Q103" i="100"/>
  <c r="AE103" i="100"/>
  <c r="AD103" i="100"/>
  <c r="Z103" i="100"/>
  <c r="P103" i="100"/>
  <c r="O103" i="100"/>
  <c r="M103" i="100"/>
  <c r="A103" i="100"/>
  <c r="AE102" i="100"/>
  <c r="AD102" i="100"/>
  <c r="Z102" i="100"/>
  <c r="P102" i="100"/>
  <c r="O102" i="100"/>
  <c r="A102" i="100"/>
  <c r="A105" i="100"/>
  <c r="K102" i="100" l="1"/>
  <c r="L102" i="100"/>
  <c r="K103" i="100"/>
  <c r="AD105" i="100"/>
  <c r="AE105" i="100"/>
  <c r="Z105" i="100"/>
  <c r="O105" i="100"/>
  <c r="P105" i="100"/>
  <c r="M105" i="100"/>
  <c r="L105" i="100"/>
  <c r="K105" i="100"/>
  <c r="A98" i="100"/>
  <c r="AD98" i="100" l="1"/>
  <c r="AE98" i="100"/>
  <c r="O98" i="100"/>
  <c r="M98" i="100"/>
  <c r="L98" i="100"/>
  <c r="K98" i="100"/>
  <c r="Z98" i="100"/>
  <c r="P98" i="100"/>
  <c r="A112" i="100"/>
  <c r="Z112" i="100" l="1"/>
  <c r="AE112" i="100"/>
  <c r="AD112" i="100"/>
  <c r="M112" i="100"/>
  <c r="L112" i="100"/>
  <c r="K112" i="100"/>
  <c r="P112" i="100"/>
  <c r="O112" i="100"/>
  <c r="A6" i="100"/>
  <c r="Z6" i="100" l="1"/>
  <c r="AE6" i="100"/>
  <c r="AD6" i="100"/>
  <c r="P6" i="100"/>
  <c r="M6" i="100"/>
  <c r="K6" i="100"/>
  <c r="L6" i="100"/>
  <c r="O6" i="100"/>
  <c r="A21" i="100"/>
  <c r="A19" i="100"/>
  <c r="A37" i="100"/>
  <c r="A36" i="100"/>
  <c r="A34" i="100"/>
  <c r="A32" i="100"/>
  <c r="A30" i="100"/>
  <c r="A28" i="100"/>
  <c r="A27" i="100"/>
  <c r="A25" i="100"/>
  <c r="A44" i="100"/>
  <c r="A43" i="100"/>
  <c r="A54" i="100"/>
  <c r="A53" i="100"/>
  <c r="A51" i="100"/>
  <c r="A50" i="100"/>
  <c r="A88" i="100"/>
  <c r="A87" i="100"/>
  <c r="A84" i="100"/>
  <c r="A83" i="100"/>
  <c r="A80" i="100"/>
  <c r="A78" i="100"/>
  <c r="A76" i="100"/>
  <c r="A75" i="100"/>
  <c r="A70" i="100"/>
  <c r="A69" i="100"/>
  <c r="A108" i="100"/>
  <c r="A107" i="100"/>
  <c r="A106" i="100"/>
  <c r="A104" i="100"/>
  <c r="A101" i="100"/>
  <c r="A100" i="100"/>
  <c r="A99" i="100"/>
  <c r="A113" i="100"/>
  <c r="B8" i="100"/>
  <c r="B12" i="100"/>
  <c r="B15" i="100"/>
  <c r="B23" i="100"/>
  <c r="B39" i="100"/>
  <c r="B46" i="100"/>
  <c r="B56" i="100"/>
  <c r="B60" i="100"/>
  <c r="B63" i="100"/>
  <c r="B66" i="100"/>
  <c r="B93" i="100"/>
  <c r="B96" i="100"/>
  <c r="B110" i="100"/>
  <c r="B115" i="100"/>
  <c r="A116" i="100"/>
  <c r="A111" i="100"/>
  <c r="A97" i="100"/>
  <c r="A94" i="100"/>
  <c r="A67" i="100"/>
  <c r="A64" i="100"/>
  <c r="A61" i="100"/>
  <c r="A57" i="100"/>
  <c r="A47" i="100"/>
  <c r="A40" i="100"/>
  <c r="A24" i="100"/>
  <c r="A16" i="100"/>
  <c r="A13" i="100"/>
  <c r="A9" i="100"/>
  <c r="A5" i="100" l="1"/>
  <c r="L5" i="100" l="1"/>
  <c r="M5" i="100"/>
  <c r="K5" i="100"/>
  <c r="O5" i="100"/>
  <c r="P5" i="100" l="1"/>
  <c r="Z5" i="100" l="1"/>
  <c r="AD5" i="100" l="1"/>
  <c r="AE5" i="100"/>
  <c r="AD9" i="100" l="1"/>
  <c r="AE9" i="100"/>
  <c r="Z9" i="100"/>
  <c r="O9" i="100"/>
  <c r="M9" i="100"/>
  <c r="L9" i="100"/>
  <c r="K9" i="100"/>
  <c r="P9" i="100"/>
  <c r="AD13" i="100" l="1"/>
  <c r="Z13" i="100"/>
  <c r="AE13" i="100"/>
  <c r="O13" i="100"/>
  <c r="M13" i="100"/>
  <c r="L13" i="100"/>
  <c r="K13" i="100"/>
  <c r="P13" i="100"/>
  <c r="AD16" i="100" l="1"/>
  <c r="AE16" i="100"/>
  <c r="Z16" i="100"/>
  <c r="O16" i="100"/>
  <c r="P16" i="100"/>
  <c r="M16" i="100"/>
  <c r="L16" i="100"/>
  <c r="K16" i="100"/>
  <c r="AD19" i="100" l="1"/>
  <c r="AE19" i="100"/>
  <c r="Z19" i="100"/>
  <c r="O19" i="100"/>
  <c r="M19" i="100"/>
  <c r="L19" i="100"/>
  <c r="K19" i="100"/>
  <c r="P19" i="100"/>
  <c r="AD24" i="100"/>
  <c r="Z24" i="100"/>
  <c r="AE24" i="100"/>
  <c r="O24" i="100"/>
  <c r="P24" i="100"/>
  <c r="M24" i="100"/>
  <c r="L24" i="100"/>
  <c r="K24" i="100"/>
  <c r="AD21" i="100" l="1"/>
  <c r="AE21" i="100"/>
  <c r="Z21" i="100"/>
  <c r="Z25" i="100"/>
  <c r="AE25" i="100"/>
  <c r="AD25" i="100"/>
  <c r="O21" i="100"/>
  <c r="O25" i="100"/>
  <c r="L21" i="100"/>
  <c r="M21" i="100"/>
  <c r="K21" i="100"/>
  <c r="P21" i="100"/>
  <c r="P25" i="100"/>
  <c r="M25" i="100"/>
  <c r="L25" i="100"/>
  <c r="K25" i="100"/>
  <c r="AD40" i="100"/>
  <c r="AE40" i="100"/>
  <c r="Z40" i="100"/>
  <c r="O40" i="100"/>
  <c r="M40" i="100"/>
  <c r="L40" i="100"/>
  <c r="K40" i="100"/>
  <c r="P40" i="100"/>
  <c r="Z27" i="100" l="1"/>
  <c r="AE27" i="100"/>
  <c r="AD27" i="100"/>
  <c r="AD43" i="100"/>
  <c r="AE43" i="100"/>
  <c r="Z43" i="100"/>
  <c r="O27" i="100"/>
  <c r="O43" i="100"/>
  <c r="P27" i="100"/>
  <c r="K27" i="100"/>
  <c r="M27" i="100"/>
  <c r="L27" i="100"/>
  <c r="K43" i="100"/>
  <c r="L43" i="100"/>
  <c r="M43" i="100"/>
  <c r="P43" i="100"/>
  <c r="AD47" i="100"/>
  <c r="Z47" i="100"/>
  <c r="AE47" i="100"/>
  <c r="O47" i="100"/>
  <c r="M47" i="100"/>
  <c r="L47" i="100"/>
  <c r="K47" i="100"/>
  <c r="P47" i="100"/>
  <c r="AD50" i="100" l="1"/>
  <c r="Z50" i="100"/>
  <c r="AE50" i="100"/>
  <c r="Z28" i="100"/>
  <c r="AE28" i="100"/>
  <c r="AD28" i="100"/>
  <c r="AD44" i="100"/>
  <c r="AE44" i="100"/>
  <c r="Z44" i="100"/>
  <c r="O50" i="100"/>
  <c r="O28" i="100"/>
  <c r="O44" i="100"/>
  <c r="L50" i="100"/>
  <c r="K50" i="100"/>
  <c r="M50" i="100"/>
  <c r="P50" i="100"/>
  <c r="P28" i="100"/>
  <c r="K28" i="100"/>
  <c r="M28" i="100"/>
  <c r="L28" i="100"/>
  <c r="K44" i="100"/>
  <c r="M44" i="100"/>
  <c r="L44" i="100"/>
  <c r="P44" i="100"/>
  <c r="AD57" i="100"/>
  <c r="AE57" i="100"/>
  <c r="Z57" i="100"/>
  <c r="O57" i="100"/>
  <c r="P57" i="100"/>
  <c r="M57" i="100"/>
  <c r="K57" i="100"/>
  <c r="L57" i="100"/>
  <c r="Z30" i="100" l="1"/>
  <c r="AE30" i="100"/>
  <c r="AD30" i="100"/>
  <c r="AD51" i="100"/>
  <c r="Z51" i="100"/>
  <c r="AE51" i="100"/>
  <c r="O30" i="100"/>
  <c r="O51" i="100"/>
  <c r="P30" i="100"/>
  <c r="K30" i="100"/>
  <c r="M30" i="100"/>
  <c r="L30" i="100"/>
  <c r="L51" i="100"/>
  <c r="K51" i="100"/>
  <c r="M51" i="100"/>
  <c r="P51" i="100"/>
  <c r="AD61" i="100"/>
  <c r="Z61" i="100"/>
  <c r="AE61" i="100"/>
  <c r="O61" i="100"/>
  <c r="P61" i="100"/>
  <c r="M61" i="100"/>
  <c r="L61" i="100"/>
  <c r="K61" i="100"/>
  <c r="AD53" i="100" l="1"/>
  <c r="Z53" i="100"/>
  <c r="AE53" i="100"/>
  <c r="Z32" i="100"/>
  <c r="AE32" i="100"/>
  <c r="AD32" i="100"/>
  <c r="O53" i="100"/>
  <c r="O32" i="100"/>
  <c r="L53" i="100"/>
  <c r="K53" i="100"/>
  <c r="M53" i="100"/>
  <c r="P53" i="100"/>
  <c r="P32" i="100"/>
  <c r="K32" i="100"/>
  <c r="M32" i="100"/>
  <c r="L32" i="100"/>
  <c r="AD64" i="100"/>
  <c r="AE64" i="100"/>
  <c r="Z64" i="100"/>
  <c r="O64" i="100"/>
  <c r="M64" i="100"/>
  <c r="K64" i="100"/>
  <c r="L64" i="100"/>
  <c r="P64" i="100"/>
  <c r="Z34" i="100" l="1"/>
  <c r="AE34" i="100"/>
  <c r="AD34" i="100"/>
  <c r="AD54" i="100"/>
  <c r="AE54" i="100"/>
  <c r="Z54" i="100"/>
  <c r="O34" i="100"/>
  <c r="O54" i="100"/>
  <c r="P34" i="100"/>
  <c r="K34" i="100"/>
  <c r="M34" i="100"/>
  <c r="L34" i="100"/>
  <c r="L54" i="100"/>
  <c r="K54" i="100"/>
  <c r="M54" i="100"/>
  <c r="P54" i="100"/>
  <c r="AD67" i="100"/>
  <c r="Z67" i="100"/>
  <c r="AE67" i="100"/>
  <c r="O67" i="100"/>
  <c r="M67" i="100"/>
  <c r="L67" i="100"/>
  <c r="K67" i="100"/>
  <c r="P67" i="100"/>
  <c r="Z36" i="100" l="1"/>
  <c r="AE36" i="100"/>
  <c r="AD36" i="100"/>
  <c r="AD69" i="100"/>
  <c r="AE69" i="100"/>
  <c r="Z69" i="100"/>
  <c r="O36" i="100"/>
  <c r="O69" i="100"/>
  <c r="P36" i="100"/>
  <c r="K36" i="100"/>
  <c r="M36" i="100"/>
  <c r="L36" i="100"/>
  <c r="L69" i="100"/>
  <c r="M69" i="100"/>
  <c r="K69" i="100"/>
  <c r="P69" i="100"/>
  <c r="AD94" i="100"/>
  <c r="AE94" i="100"/>
  <c r="Z94" i="100"/>
  <c r="O94" i="100"/>
  <c r="P94" i="100"/>
  <c r="M94" i="100"/>
  <c r="L94" i="100"/>
  <c r="K94" i="100"/>
  <c r="AD70" i="100" l="1"/>
  <c r="Z70" i="100"/>
  <c r="AE70" i="100"/>
  <c r="Z37" i="100"/>
  <c r="AE37" i="100"/>
  <c r="AD37" i="100"/>
  <c r="O70" i="100"/>
  <c r="O37" i="100"/>
  <c r="M70" i="100"/>
  <c r="L70" i="100"/>
  <c r="K70" i="100"/>
  <c r="P70" i="100"/>
  <c r="P37" i="100"/>
  <c r="K37" i="100"/>
  <c r="M37" i="100"/>
  <c r="L37" i="100"/>
  <c r="AD97" i="100"/>
  <c r="Z97" i="100"/>
  <c r="AE97" i="100"/>
  <c r="O97" i="100"/>
  <c r="P97" i="100"/>
  <c r="M97" i="100"/>
  <c r="L97" i="100"/>
  <c r="K97" i="100"/>
  <c r="AD75" i="100" l="1"/>
  <c r="AE75" i="100"/>
  <c r="Z75" i="100"/>
  <c r="Z99" i="100"/>
  <c r="AE99" i="100"/>
  <c r="AD99" i="100"/>
  <c r="O75" i="100"/>
  <c r="O99" i="100"/>
  <c r="L75" i="100"/>
  <c r="K75" i="100"/>
  <c r="M75" i="100"/>
  <c r="P75" i="100"/>
  <c r="P99" i="100"/>
  <c r="M99" i="100"/>
  <c r="L99" i="100"/>
  <c r="K99" i="100"/>
  <c r="AD111" i="100"/>
  <c r="AE111" i="100"/>
  <c r="Z111" i="100"/>
  <c r="O111" i="100"/>
  <c r="M111" i="100"/>
  <c r="L111" i="100"/>
  <c r="K111" i="100"/>
  <c r="P111" i="100"/>
  <c r="Z100" i="100" l="1"/>
  <c r="AE100" i="100"/>
  <c r="AD100" i="100"/>
  <c r="AD76" i="100"/>
  <c r="AE76" i="100"/>
  <c r="Z76" i="100"/>
  <c r="AD113" i="100"/>
  <c r="AE113" i="100"/>
  <c r="Z113" i="100"/>
  <c r="O100" i="100"/>
  <c r="O76" i="100"/>
  <c r="O113" i="100"/>
  <c r="P100" i="100"/>
  <c r="M100" i="100"/>
  <c r="L100" i="100"/>
  <c r="K100" i="100"/>
  <c r="L76" i="100"/>
  <c r="M76" i="100"/>
  <c r="K76" i="100"/>
  <c r="P76" i="100"/>
  <c r="P113" i="100"/>
  <c r="M113" i="100"/>
  <c r="L113" i="100"/>
  <c r="K113" i="100"/>
  <c r="AD116" i="100"/>
  <c r="Z116" i="100"/>
  <c r="AE116" i="100"/>
  <c r="O116" i="100"/>
  <c r="M116" i="100"/>
  <c r="L116" i="100"/>
  <c r="K116" i="100"/>
  <c r="P116" i="100"/>
  <c r="AD78" i="100" l="1"/>
  <c r="AE78" i="100"/>
  <c r="Z78" i="100"/>
  <c r="Z101" i="100"/>
  <c r="AE101" i="100"/>
  <c r="AD101" i="100"/>
  <c r="O78" i="100"/>
  <c r="O101" i="100"/>
  <c r="L78" i="100"/>
  <c r="M78" i="100"/>
  <c r="K78" i="100"/>
  <c r="P78" i="100"/>
  <c r="M101" i="100"/>
  <c r="L101" i="100"/>
  <c r="K101" i="100"/>
  <c r="P101" i="100"/>
  <c r="Z104" i="100" l="1"/>
  <c r="AE104" i="100"/>
  <c r="AD104" i="100"/>
  <c r="AD80" i="100"/>
  <c r="AE80" i="100"/>
  <c r="Z80" i="100"/>
  <c r="O104" i="100"/>
  <c r="O80" i="100"/>
  <c r="P104" i="100"/>
  <c r="M104" i="100"/>
  <c r="L104" i="100"/>
  <c r="K104" i="100"/>
  <c r="L80" i="100"/>
  <c r="M80" i="100"/>
  <c r="K80" i="100"/>
  <c r="P80" i="100"/>
  <c r="Z106" i="100" l="1"/>
  <c r="AE106" i="100"/>
  <c r="AD106" i="100"/>
  <c r="AD83" i="100"/>
  <c r="AE83" i="100"/>
  <c r="Z83" i="100"/>
  <c r="O106" i="100"/>
  <c r="O83" i="100"/>
  <c r="M106" i="100"/>
  <c r="L106" i="100"/>
  <c r="K106" i="100"/>
  <c r="P106" i="100"/>
  <c r="L83" i="100"/>
  <c r="M83" i="100"/>
  <c r="K83" i="100"/>
  <c r="P83" i="100"/>
  <c r="AD84" i="100" l="1"/>
  <c r="AE84" i="100"/>
  <c r="Z84" i="100"/>
  <c r="Z107" i="100"/>
  <c r="AE107" i="100"/>
  <c r="AD107" i="100"/>
  <c r="O84" i="100"/>
  <c r="O107" i="100"/>
  <c r="M84" i="100"/>
  <c r="K84" i="100"/>
  <c r="L84" i="100"/>
  <c r="P84" i="100"/>
  <c r="P107" i="100"/>
  <c r="M107" i="100"/>
  <c r="L107" i="100"/>
  <c r="K107" i="100"/>
  <c r="Z108" i="100" l="1"/>
  <c r="AE108" i="100"/>
  <c r="AD108" i="100"/>
  <c r="AD87" i="100"/>
  <c r="AE87" i="100"/>
  <c r="Z87" i="100"/>
  <c r="O108" i="100"/>
  <c r="O87" i="100"/>
  <c r="P108" i="100"/>
  <c r="M108" i="100"/>
  <c r="L108" i="100"/>
  <c r="K108" i="100"/>
  <c r="L87" i="100"/>
  <c r="M87" i="100"/>
  <c r="K87" i="100"/>
  <c r="P87" i="100"/>
  <c r="AD88" i="100" l="1"/>
  <c r="AE88" i="100"/>
  <c r="Z88" i="100"/>
  <c r="O88" i="100"/>
  <c r="M88" i="100"/>
  <c r="L88" i="100"/>
  <c r="K88" i="100"/>
  <c r="P88" i="100"/>
</calcChain>
</file>

<file path=xl/sharedStrings.xml><?xml version="1.0" encoding="utf-8"?>
<sst xmlns="http://schemas.openxmlformats.org/spreadsheetml/2006/main" count="778" uniqueCount="192">
  <si>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</si>
  <si>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</si>
  <si>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</si>
  <si>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</si>
  <si>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</si>
  <si>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</si>
  <si>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</si>
  <si>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</si>
  <si>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</si>
  <si>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</si>
  <si>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</si>
  <si>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</si>
  <si>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</si>
  <si>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</si>
  <si>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</si>
  <si>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</si>
  <si>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</si>
  <si>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</si>
  <si>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</si>
  <si>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</si>
  <si>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</si>
  <si>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</si>
  <si>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</si>
  <si>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</si>
  <si>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</si>
  <si>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</si>
  <si>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</si>
  <si>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</si>
  <si>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</si>
  <si>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</si>
  <si>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</si>
  <si>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</si>
  <si>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</si>
  <si>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</si>
  <si>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</si>
  <si>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</si>
  <si>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</si>
  <si>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</si>
  <si>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</si>
  <si>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</si>
  <si>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</si>
  <si>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</si>
  <si>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</si>
  <si>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</si>
  <si>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</si>
  <si>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</si>
  <si>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</si>
  <si>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</si>
  <si>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</si>
  <si>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</si>
  <si>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</si>
  <si>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</si>
  <si>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</si>
  <si>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</si>
  <si>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</si>
  <si>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</si>
  <si>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</si>
  <si>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</si>
  <si>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</si>
  <si>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</si>
  <si>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</si>
  <si>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</si>
  <si>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</si>
  <si>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</si>
  <si>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</si>
  <si>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</si>
  <si>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</si>
  <si>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</si>
  <si>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</si>
  <si>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</si>
  <si>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</si>
  <si>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BOURGOGNE BLANC</t>
  </si>
  <si>
    <t>CORK</t>
  </si>
  <si>
    <t>6x750ml C</t>
  </si>
  <si>
    <t>6x750ml W</t>
  </si>
  <si>
    <t>Gevrey-Chambertin La Perriere 1er Cru</t>
  </si>
  <si>
    <t>Nuits-Saint-Georges</t>
  </si>
  <si>
    <t>Vosne Romanee 1er Cru Aux Brulees</t>
  </si>
  <si>
    <t>Vosne Romanee 1er Cru Les Suchots</t>
  </si>
  <si>
    <t>Chambertin-Clos de Beze Grand Cru</t>
  </si>
  <si>
    <t>Charmes-Chambertin Grand Cru</t>
  </si>
  <si>
    <t>Hospices Guigone de Salins VINTUS</t>
  </si>
  <si>
    <t>3342833400105</t>
  </si>
  <si>
    <t>3342832250107</t>
  </si>
  <si>
    <t>3342836017102</t>
  </si>
  <si>
    <t>3342836270101</t>
  </si>
  <si>
    <t>3342837280109</t>
  </si>
  <si>
    <t>086891074566</t>
  </si>
  <si>
    <t>3342836420100</t>
  </si>
  <si>
    <t>086891077659</t>
  </si>
  <si>
    <t>3342837770105</t>
  </si>
  <si>
    <t>3342837700102</t>
  </si>
  <si>
    <t>Corton Grand Cru</t>
  </si>
  <si>
    <t>Pommard 1er Cru Les Charmots</t>
  </si>
  <si>
    <t>Marsannay</t>
  </si>
  <si>
    <t>Nuits Saint Georges 1er Cru Les Vaucrains</t>
  </si>
  <si>
    <t>2016</t>
  </si>
  <si>
    <t>2015</t>
  </si>
  <si>
    <t>2017</t>
  </si>
  <si>
    <t>2011</t>
  </si>
  <si>
    <t>2010</t>
  </si>
  <si>
    <t>2013</t>
  </si>
  <si>
    <t>2014</t>
  </si>
  <si>
    <t>Red</t>
  </si>
  <si>
    <t>CORTON RED</t>
  </si>
  <si>
    <t>GEVREY-CHAMB 1ER</t>
  </si>
  <si>
    <t>BEAUNE</t>
  </si>
  <si>
    <t>NUITS-SAINT-GEORGES</t>
  </si>
  <si>
    <t>CHAMBERTIN-CLOS BEZE</t>
  </si>
  <si>
    <t>CHARMES-CHAMBERTIN</t>
  </si>
  <si>
    <t>BEAUNE 1ER</t>
  </si>
  <si>
    <t>PINOT NOIR</t>
  </si>
  <si>
    <t>12x750ml C</t>
  </si>
  <si>
    <t>3342831410106</t>
  </si>
  <si>
    <t>Santenay-Beauregard 1er Cru</t>
  </si>
  <si>
    <t>3342832500103</t>
  </si>
  <si>
    <t>Beaune Teurons 1er Cru</t>
  </si>
  <si>
    <t>Beaune Clos des Marconnets 1er Cru</t>
  </si>
  <si>
    <t>Beaune Clos des Mouches Rouge 1er Cru</t>
  </si>
  <si>
    <t>Beaune Clos du Roi 1er Cru</t>
  </si>
  <si>
    <t>2012</t>
  </si>
  <si>
    <t>086891079004</t>
  </si>
  <si>
    <t>3342838520105</t>
  </si>
  <si>
    <t>3342838530104</t>
  </si>
  <si>
    <t>3342838540103</t>
  </si>
  <si>
    <t>864576000129</t>
  </si>
  <si>
    <t>3342830800106</t>
  </si>
  <si>
    <t>3342830250109</t>
  </si>
  <si>
    <t>3342832410105</t>
  </si>
  <si>
    <t>3342832480108</t>
  </si>
  <si>
    <t>3342832440102</t>
  </si>
  <si>
    <t>3342832530100</t>
  </si>
  <si>
    <t>3342832450101</t>
  </si>
  <si>
    <t>10864576000126</t>
  </si>
  <si>
    <t xml:space="preserve">Chablis Grand Cru Valmur </t>
  </si>
  <si>
    <t>Chablis Grand Cru Les Clos</t>
  </si>
  <si>
    <t xml:space="preserve">Chablis Grand Cru Les Preuses </t>
  </si>
  <si>
    <t>Chablis Grand Cru Bougros</t>
  </si>
  <si>
    <t>Le Bourgogne Pinot Noir</t>
  </si>
  <si>
    <t>Givry</t>
  </si>
  <si>
    <t>Fleurie</t>
  </si>
  <si>
    <t>Beaune-Bastion 1er Cru Rouge</t>
  </si>
  <si>
    <t>Beaune Bressandes 1er Cru</t>
  </si>
  <si>
    <t>White</t>
  </si>
  <si>
    <t>CHABLIS</t>
  </si>
  <si>
    <t>GIVRY</t>
  </si>
  <si>
    <t>FLEURIE</t>
  </si>
  <si>
    <t>CHARDONNAY</t>
  </si>
  <si>
    <t>3342835930105</t>
  </si>
  <si>
    <t>3342835800101</t>
  </si>
  <si>
    <t>Corton-Charlemagne Grand Cru</t>
  </si>
  <si>
    <t>Criots-Batard-Montrachet Grand Cru</t>
  </si>
  <si>
    <t>CORTON-CHARLEMAGNE</t>
  </si>
  <si>
    <t>CRIOTS-BATARD-MONTRA</t>
  </si>
  <si>
    <t>3342835600107</t>
  </si>
  <si>
    <t>3342835400103</t>
  </si>
  <si>
    <t>3342834420102</t>
  </si>
  <si>
    <t>3342834240106</t>
  </si>
  <si>
    <t>3342834040102</t>
  </si>
  <si>
    <t>3342834470107</t>
  </si>
  <si>
    <t>3342835240105</t>
  </si>
  <si>
    <t>3342835220107</t>
  </si>
  <si>
    <t>3342835650102</t>
  </si>
  <si>
    <t>3342835450108</t>
  </si>
  <si>
    <t>3342835440109</t>
  </si>
  <si>
    <t>Chassagne-Montrachet</t>
  </si>
  <si>
    <t>Puligny-Montrachet</t>
  </si>
  <si>
    <t xml:space="preserve">Beaune-Bastion 1er Cru Blanc </t>
  </si>
  <si>
    <t>Savigny-Les-Beaune  1er Cru Hauts Marconnets</t>
  </si>
  <si>
    <t>Pernand-Vergelesses 1er Cru Les Caradeux</t>
  </si>
  <si>
    <t>Beaune Clos des Mouches Blanc 1er Cru</t>
  </si>
  <si>
    <t>Meursault 1er Cru Charmes</t>
  </si>
  <si>
    <t>Meursault 1er Cru Perrieres</t>
  </si>
  <si>
    <t xml:space="preserve">Chassagne-Montrachet 1er Cru Les Chenevottes </t>
  </si>
  <si>
    <t>Puligny-Montrachet 1er Cru Les Folatieres</t>
  </si>
  <si>
    <t>Puligny-Montrachet 1er Cru Champ Gains</t>
  </si>
  <si>
    <t>CHASSAGNE-MONTRACHET</t>
  </si>
  <si>
    <t>PULIGNY-MONTRACHET</t>
  </si>
  <si>
    <t>PERNAND-VERGELLE 1ER</t>
  </si>
  <si>
    <t>PULIGNY-MONTRACH 1ER</t>
  </si>
  <si>
    <t>864576000112</t>
  </si>
  <si>
    <t>852165006331</t>
  </si>
  <si>
    <t>864576000105</t>
  </si>
  <si>
    <t>3342830610101</t>
  </si>
  <si>
    <t>10864576000119</t>
  </si>
  <si>
    <t>30852165006332</t>
  </si>
  <si>
    <t>10864576000102</t>
  </si>
  <si>
    <t>Le Bourgogne Chardonnay</t>
  </si>
  <si>
    <t>Vire-Clesse</t>
  </si>
  <si>
    <t>Montagny 1er Cru</t>
  </si>
  <si>
    <t>MONTAGNY 1ER</t>
  </si>
  <si>
    <t>6x1.5L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</si>
</sst>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138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46</v>
      </c>
      <c r="C5" s="33" t="s">
        <v>187</v>
      </c>
      <c r="D5" s="34">
        <v>12</v>
      </c>
      <c r="E5" s="34">
        <v>750</v>
      </c>
      <c r="F5" s="34" t="s">
        <v>97</v>
      </c>
      <c r="G5" s="34" t="s">
        <v>143</v>
      </c>
      <c r="H5" s="35" t="s">
        <v>106</v>
      </c>
      <c r="I5" s="35" t="s">
        <v>147</v>
      </c>
      <c r="J5" s="13" t="s">
        <v>72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No</v>
      </c>
      <c r="N5" s="9">
        <v>12.5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180</v>
      </c>
      <c r="R5" s="36" t="s">
        <v>184</v>
      </c>
      <c r="S5" s="22">
        <v>3.23</v>
      </c>
      <c r="T5" s="22">
        <v>11.9</v>
      </c>
      <c r="U5" s="22">
        <v>3.0833299999999997</v>
      </c>
      <c r="V5" s="22">
        <v>20</v>
      </c>
      <c r="W5" s="22">
        <v>12</v>
      </c>
      <c r="X5" s="22">
        <v>7</v>
      </c>
      <c r="Y5" s="13">
        <v>37</v>
      </c>
      <c r="Z5" s="22">
        <f>IF(V5&gt;0,(V5*W5*X5)/1728,"")</f>
        <v>0.97222222222222221</v>
      </c>
      <c r="AA5" s="13">
        <v>7</v>
      </c>
      <c r="AB5" s="13">
        <v>7</v>
      </c>
      <c r="AC5" s="13">
        <v>49</v>
      </c>
      <c r="AD5" s="13">
        <f>IF(AB5&gt;0,AB5*X5,"")</f>
        <v>49</v>
      </c>
      <c r="AE5" s="13">
        <f>IF(Y5&gt;0,Y5*(AA5*AB5),"")</f>
        <v>1813</v>
      </c>
      <c r="AG5" s="28" t="s">
        <v>112</v>
      </c>
    </row>
    <row r="6" spans="1:33" x14ac:dyDescent="0.25">
      <c r="A6" s="10" t="e">
        <f>IF(#REF!=0,"Hide","Show")</f>
        <v>#REF!</v>
      </c>
      <c r="B6" s="32" t="s">
        <v>46</v>
      </c>
      <c r="C6" s="33" t="s">
        <v>187</v>
      </c>
      <c r="D6" s="34">
        <v>12</v>
      </c>
      <c r="E6" s="34">
        <v>750</v>
      </c>
      <c r="F6" s="34" t="s">
        <v>96</v>
      </c>
      <c r="G6" s="34" t="s">
        <v>143</v>
      </c>
      <c r="H6" s="35" t="s">
        <v>106</v>
      </c>
      <c r="I6" s="35" t="s">
        <v>147</v>
      </c>
      <c r="J6" s="13" t="s">
        <v>72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No</v>
      </c>
      <c r="N6" s="9">
        <v>12.5</v>
      </c>
      <c r="O6" s="13" t="str">
        <f>IF(LEN(Q6)=12,"UPC",IF(LEN(Q6)&gt;12,"EAN",""))</f>
        <v>UPC</v>
      </c>
      <c r="P6" s="13" t="str">
        <f>IF(ISNUMBER(SEARCH("Gift",AG6)),"Gift Box","")</f>
        <v/>
      </c>
      <c r="Q6" s="36" t="s">
        <v>180</v>
      </c>
      <c r="R6" s="36" t="s">
        <v>184</v>
      </c>
      <c r="S6" s="22">
        <v>3.23</v>
      </c>
      <c r="T6" s="22">
        <v>11.9</v>
      </c>
      <c r="U6" s="22">
        <v>3.0833299999999997</v>
      </c>
      <c r="V6" s="22">
        <v>20</v>
      </c>
      <c r="W6" s="22">
        <v>12</v>
      </c>
      <c r="X6" s="22">
        <v>7</v>
      </c>
      <c r="Y6" s="13">
        <v>37</v>
      </c>
      <c r="Z6" s="22">
        <f>IF(V6&gt;0,(V6*W6*X6)/1728,"")</f>
        <v>0.97222222222222221</v>
      </c>
      <c r="AA6" s="13">
        <v>7</v>
      </c>
      <c r="AB6" s="13">
        <v>7</v>
      </c>
      <c r="AC6" s="13">
        <v>49</v>
      </c>
      <c r="AD6" s="13">
        <f>IF(AB6&gt;0,AB6*X6,"")</f>
        <v>49</v>
      </c>
      <c r="AE6" s="13">
        <f>IF(Y6&gt;0,Y6*(AA6*AB6),"")</f>
        <v>1813</v>
      </c>
      <c r="AG6" s="28" t="s">
        <v>112</v>
      </c>
    </row>
    <row r="7" spans="1:33" ht="6" customHeight="1" x14ac:dyDescent="0.25">
      <c r="B7" s="15"/>
      <c r="C7" s="12"/>
      <c r="D7" s="12"/>
      <c r="E7" s="12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4"/>
      <c r="T7" s="24"/>
      <c r="U7" s="24"/>
      <c r="V7" s="24"/>
      <c r="W7" s="24"/>
      <c r="X7" s="24"/>
      <c r="Y7" s="12"/>
      <c r="Z7" s="12"/>
      <c r="AA7" s="12"/>
      <c r="AB7" s="12"/>
      <c r="AC7" s="12"/>
      <c r="AD7" s="12"/>
      <c r="AE7" s="12"/>
      <c r="AG7" s="27"/>
    </row>
    <row r="8" spans="1:33" x14ac:dyDescent="0.25">
      <c r="B8" s="21" t="str">
        <f>"MACONNAIS"</f>
        <v>MACONNAIS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3"/>
      <c r="T8" s="23"/>
      <c r="U8" s="23"/>
      <c r="V8" s="23"/>
      <c r="W8" s="23"/>
      <c r="X8" s="23"/>
      <c r="Y8" s="11"/>
      <c r="Z8" s="11"/>
      <c r="AA8" s="11"/>
      <c r="AB8" s="11"/>
      <c r="AC8" s="11"/>
      <c r="AD8" s="11"/>
      <c r="AE8" s="11"/>
      <c r="AG8" s="28"/>
    </row>
    <row r="9" spans="1:33" x14ac:dyDescent="0.25">
      <c r="A9" s="10" t="e">
        <f>IF(#REF!=0,"Hide","Show")</f>
        <v>#REF!</v>
      </c>
      <c r="B9" s="32" t="s">
        <v>46</v>
      </c>
      <c r="C9" s="33" t="s">
        <v>188</v>
      </c>
      <c r="D9" s="34">
        <v>6</v>
      </c>
      <c r="E9" s="34">
        <v>1500</v>
      </c>
      <c r="F9" s="34" t="s">
        <v>97</v>
      </c>
      <c r="G9" s="34" t="s">
        <v>143</v>
      </c>
      <c r="H9" s="35" t="s">
        <v>106</v>
      </c>
      <c r="I9" s="35" t="s">
        <v>147</v>
      </c>
      <c r="J9" s="13" t="s">
        <v>72</v>
      </c>
      <c r="K9" s="13" t="str">
        <f>VLOOKUP(B9,Sheet1!$A:$D,2,FALSE)</f>
        <v>Yes</v>
      </c>
      <c r="L9" s="13" t="str">
        <f>VLOOKUP(B9,Sheet1!$A:$D,3,FALSE)</f>
        <v>No</v>
      </c>
      <c r="M9" s="13" t="str">
        <f>VLOOKUP(B9,Sheet1!$A:$D,4,FALSE)</f>
        <v>No</v>
      </c>
      <c r="N9" s="9">
        <v>13</v>
      </c>
      <c r="O9" s="13" t="str">
        <f t="shared" ref="O9" si="0">IF(LEN(Q9)=12,"UPC",IF(LEN(Q9)&gt;12,"EAN",""))</f>
        <v>UPC</v>
      </c>
      <c r="P9" s="13" t="str">
        <f t="shared" ref="P9" si="1">IF(ISNUMBER(SEARCH("Gift",AG9)),"Gift Box","")</f>
        <v/>
      </c>
      <c r="Q9" s="36" t="s">
        <v>181</v>
      </c>
      <c r="R9" s="36" t="s">
        <v>185</v>
      </c>
      <c r="S9" s="22">
        <v>0</v>
      </c>
      <c r="T9" s="22">
        <v>0</v>
      </c>
      <c r="U9" s="22">
        <v>5.8333299999999992</v>
      </c>
      <c r="V9" s="22">
        <v>0</v>
      </c>
      <c r="W9" s="22">
        <v>0</v>
      </c>
      <c r="X9" s="22">
        <v>0</v>
      </c>
      <c r="Y9" s="13">
        <v>35</v>
      </c>
      <c r="Z9" s="22" t="str">
        <f t="shared" ref="Z9" si="2">IF(V9&gt;0,(V9*W9*X9)/1728,"")</f>
        <v/>
      </c>
      <c r="AA9" s="13">
        <v>7</v>
      </c>
      <c r="AB9" s="13">
        <v>7</v>
      </c>
      <c r="AC9" s="13">
        <v>49</v>
      </c>
      <c r="AD9" s="13">
        <f t="shared" ref="AD9" si="3">IF(AB9&gt;0,AB9*X9,"")</f>
        <v>0</v>
      </c>
      <c r="AE9" s="13">
        <f t="shared" ref="AE9" si="4">IF(Y9&gt;0,Y9*(AA9*AB9),"")</f>
        <v>1715</v>
      </c>
      <c r="AG9" s="28" t="s">
        <v>191</v>
      </c>
    </row>
    <row r="10" spans="1:33" x14ac:dyDescent="0.25">
      <c r="A10" s="10" t="e">
        <f>IF(#REF!=0,"Hide","Show")</f>
        <v>#REF!</v>
      </c>
      <c r="B10" s="32" t="s">
        <v>46</v>
      </c>
      <c r="C10" s="33" t="s">
        <v>188</v>
      </c>
      <c r="D10" s="34">
        <v>12</v>
      </c>
      <c r="E10" s="34">
        <v>750</v>
      </c>
      <c r="F10" s="34" t="s">
        <v>96</v>
      </c>
      <c r="G10" s="34" t="s">
        <v>143</v>
      </c>
      <c r="H10" s="35" t="s">
        <v>106</v>
      </c>
      <c r="I10" s="35" t="s">
        <v>147</v>
      </c>
      <c r="J10" s="13" t="s">
        <v>72</v>
      </c>
      <c r="K10" s="13" t="str">
        <f>VLOOKUP(B10,Sheet1!$A:$D,2,FALSE)</f>
        <v>Yes</v>
      </c>
      <c r="L10" s="13" t="str">
        <f>VLOOKUP(B10,Sheet1!$A:$D,3,FALSE)</f>
        <v>No</v>
      </c>
      <c r="M10" s="13" t="str">
        <f>VLOOKUP(B10,Sheet1!$A:$D,4,FALSE)</f>
        <v>No</v>
      </c>
      <c r="N10" s="9">
        <v>13</v>
      </c>
      <c r="O10" s="13" t="str">
        <f t="shared" ref="O10" si="5">IF(LEN(Q10)=12,"UPC",IF(LEN(Q10)&gt;12,"EAN",""))</f>
        <v>UPC</v>
      </c>
      <c r="P10" s="13" t="str">
        <f t="shared" ref="P10" si="6">IF(ISNUMBER(SEARCH("Gift",AG10)),"Gift Box","")</f>
        <v/>
      </c>
      <c r="Q10" s="36" t="s">
        <v>182</v>
      </c>
      <c r="R10" s="36" t="s">
        <v>186</v>
      </c>
      <c r="S10" s="22">
        <v>3.23</v>
      </c>
      <c r="T10" s="22">
        <v>11.9</v>
      </c>
      <c r="U10" s="22">
        <v>3.0833299999999997</v>
      </c>
      <c r="V10" s="22">
        <v>20</v>
      </c>
      <c r="W10" s="22">
        <v>12</v>
      </c>
      <c r="X10" s="22">
        <v>7</v>
      </c>
      <c r="Y10" s="13">
        <v>37</v>
      </c>
      <c r="Z10" s="22">
        <f t="shared" ref="Z10" si="7">IF(V10&gt;0,(V10*W10*X10)/1728,"")</f>
        <v>0.97222222222222221</v>
      </c>
      <c r="AA10" s="13">
        <v>7</v>
      </c>
      <c r="AB10" s="13">
        <v>7</v>
      </c>
      <c r="AC10" s="13">
        <v>49</v>
      </c>
      <c r="AD10" s="13">
        <f t="shared" ref="AD10" si="8">IF(AB10&gt;0,AB10*X10,"")</f>
        <v>49</v>
      </c>
      <c r="AE10" s="13">
        <f t="shared" ref="AE10" si="9">IF(Y10&gt;0,Y10*(AA10*AB10),"")</f>
        <v>1813</v>
      </c>
      <c r="AG10" s="28" t="s">
        <v>112</v>
      </c>
    </row>
    <row r="11" spans="1:33" ht="6" customHeight="1" x14ac:dyDescent="0.25">
      <c r="B11" s="15"/>
      <c r="C11" s="12"/>
      <c r="D11" s="12"/>
      <c r="E11" s="12"/>
      <c r="F11" s="1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4"/>
      <c r="T11" s="24"/>
      <c r="U11" s="24"/>
      <c r="V11" s="24"/>
      <c r="W11" s="24"/>
      <c r="X11" s="24"/>
      <c r="Y11" s="12"/>
      <c r="Z11" s="12"/>
      <c r="AA11" s="12"/>
      <c r="AB11" s="12"/>
      <c r="AC11" s="12"/>
      <c r="AD11" s="12"/>
      <c r="AE11" s="12"/>
      <c r="AG11" s="27"/>
    </row>
    <row r="12" spans="1:33" x14ac:dyDescent="0.25">
      <c r="B12" s="21" t="str">
        <f>"CHALONNAISE WHITE"</f>
        <v>CHALONNAISE WHITE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3"/>
      <c r="T12" s="23"/>
      <c r="U12" s="23"/>
      <c r="V12" s="23"/>
      <c r="W12" s="23"/>
      <c r="X12" s="23"/>
      <c r="Y12" s="11"/>
      <c r="Z12" s="11"/>
      <c r="AA12" s="11"/>
      <c r="AB12" s="11"/>
      <c r="AC12" s="11"/>
      <c r="AD12" s="11"/>
      <c r="AE12" s="11"/>
      <c r="AG12" s="28"/>
    </row>
    <row r="13" spans="1:33" x14ac:dyDescent="0.25">
      <c r="A13" s="10" t="e">
        <f>IF(#REF!=0,"Hide","Show")</f>
        <v>#REF!</v>
      </c>
      <c r="B13" s="32" t="s">
        <v>46</v>
      </c>
      <c r="C13" s="33" t="s">
        <v>189</v>
      </c>
      <c r="D13" s="34">
        <v>12</v>
      </c>
      <c r="E13" s="34">
        <v>750</v>
      </c>
      <c r="F13" s="34" t="s">
        <v>120</v>
      </c>
      <c r="G13" s="34" t="s">
        <v>143</v>
      </c>
      <c r="H13" s="35" t="s">
        <v>190</v>
      </c>
      <c r="I13" s="35" t="s">
        <v>147</v>
      </c>
      <c r="J13" s="13" t="s">
        <v>72</v>
      </c>
      <c r="K13" s="13" t="str">
        <f>VLOOKUP(B13,Sheet1!$A:$D,2,FALSE)</f>
        <v>Yes</v>
      </c>
      <c r="L13" s="13" t="str">
        <f>VLOOKUP(B13,Sheet1!$A:$D,3,FALSE)</f>
        <v>No</v>
      </c>
      <c r="M13" s="13" t="str">
        <f>VLOOKUP(B13,Sheet1!$A:$D,4,FALSE)</f>
        <v>No</v>
      </c>
      <c r="N13" s="9">
        <v>13</v>
      </c>
      <c r="O13" s="13" t="str">
        <f t="shared" ref="O13" si="10">IF(LEN(Q13)=12,"UPC",IF(LEN(Q13)&gt;12,"EAN",""))</f>
        <v>EAN</v>
      </c>
      <c r="P13" s="13" t="str">
        <f t="shared" ref="P13" si="11">IF(ISNUMBER(SEARCH("Gift",AG13)),"Gift Box","")</f>
        <v/>
      </c>
      <c r="Q13" s="36" t="s">
        <v>183</v>
      </c>
      <c r="R13" s="36" t="s">
        <v>22</v>
      </c>
      <c r="S13" s="22">
        <v>3.23</v>
      </c>
      <c r="T13" s="22">
        <v>11.9</v>
      </c>
      <c r="U13" s="22">
        <v>3.0833299999999997</v>
      </c>
      <c r="V13" s="22">
        <v>20</v>
      </c>
      <c r="W13" s="22">
        <v>12</v>
      </c>
      <c r="X13" s="22">
        <v>7</v>
      </c>
      <c r="Y13" s="13">
        <v>37</v>
      </c>
      <c r="Z13" s="22">
        <f t="shared" ref="Z13" si="12">IF(V13&gt;0,(V13*W13*X13)/1728,"")</f>
        <v>0.97222222222222221</v>
      </c>
      <c r="AA13" s="13">
        <v>7</v>
      </c>
      <c r="AB13" s="13">
        <v>7</v>
      </c>
      <c r="AC13" s="13">
        <v>49</v>
      </c>
      <c r="AD13" s="13">
        <f t="shared" ref="AD13" si="13">IF(AB13&gt;0,AB13*X13,"")</f>
        <v>49</v>
      </c>
      <c r="AE13" s="13">
        <f t="shared" ref="AE13" si="14">IF(Y13&gt;0,Y13*(AA13*AB13),"")</f>
        <v>1813</v>
      </c>
      <c r="AG13" s="28" t="s">
        <v>112</v>
      </c>
    </row>
    <row r="14" spans="1:33" ht="6" customHeight="1" x14ac:dyDescent="0.25">
      <c r="B14" s="15"/>
      <c r="C14" s="12"/>
      <c r="D14" s="12"/>
      <c r="E14" s="12"/>
      <c r="F14" s="1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4"/>
      <c r="T14" s="24"/>
      <c r="U14" s="24"/>
      <c r="V14" s="24"/>
      <c r="W14" s="24"/>
      <c r="X14" s="24"/>
      <c r="Y14" s="12"/>
      <c r="Z14" s="12"/>
      <c r="AA14" s="12"/>
      <c r="AB14" s="12"/>
      <c r="AC14" s="12"/>
      <c r="AD14" s="12"/>
      <c r="AE14" s="12"/>
      <c r="AG14" s="27"/>
    </row>
    <row r="15" spans="1:33" x14ac:dyDescent="0.25">
      <c r="B15" s="21" t="str">
        <f>"BEAUNE WHITE VILLAGE"</f>
        <v>BEAUNE WHITE VILLAGE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3"/>
      <c r="T15" s="23"/>
      <c r="U15" s="23"/>
      <c r="V15" s="23"/>
      <c r="W15" s="23"/>
      <c r="X15" s="23"/>
      <c r="Y15" s="11"/>
      <c r="Z15" s="11"/>
      <c r="AA15" s="11"/>
      <c r="AB15" s="11"/>
      <c r="AC15" s="11"/>
      <c r="AD15" s="11"/>
      <c r="AE15" s="11"/>
      <c r="AG15" s="28"/>
    </row>
    <row r="16" spans="1:33" x14ac:dyDescent="0.25">
      <c r="A16" s="10" t="e">
        <f>IF(#REF!=0,"Hide","Show")</f>
        <v>#REF!</v>
      </c>
      <c r="B16" s="32" t="str">
        <f>"Domaine Chanson"</f>
        <v>Domaine Chanson</v>
      </c>
      <c r="C16" s="33" t="str">
        <f>"Meursault"</f>
        <v>Meursault</v>
      </c>
      <c r="D16" s="34">
        <v>12</v>
      </c>
      <c r="E16" s="34">
        <v>750</v>
      </c>
      <c r="F16" s="34" t="str">
        <f>"2013"</f>
        <v>2013</v>
      </c>
      <c r="G16" s="34" t="str">
        <f>"White"</f>
        <v>White</v>
      </c>
      <c r="H16" s="35" t="str">
        <f>"BEAUNE"</f>
        <v>BEAUNE</v>
      </c>
      <c r="I16" s="35" t="str">
        <f>"CHARDONNAY"</f>
        <v>CHARDONNAY</v>
      </c>
      <c r="J16" s="13" t="s">
        <v>72</v>
      </c>
      <c r="K16" s="13" t="str">
        <f>VLOOKUP(B16,Sheet1!$A:$D,2,FALSE)</f>
        <v>Yes</v>
      </c>
      <c r="L16" s="13" t="str">
        <f>VLOOKUP(B16,Sheet1!$A:$D,3,FALSE)</f>
        <v>No</v>
      </c>
      <c r="M16" s="13" t="str">
        <f>VLOOKUP(B16,Sheet1!$A:$D,4,FALSE)</f>
        <v>No</v>
      </c>
      <c r="N16" s="9">
        <v>13</v>
      </c>
      <c r="O16" s="13" t="str">
        <f t="shared" ref="O16" si="15">IF(LEN(Q16)=12,"UPC",IF(LEN(Q16)&gt;12,"EAN",""))</f>
        <v>EAN</v>
      </c>
      <c r="P16" s="13" t="str">
        <f t="shared" ref="P16" si="16">IF(ISNUMBER(SEARCH("Gift",AG16)),"Gift Box","")</f>
        <v/>
      </c>
      <c r="Q16" s="36" t="str">
        <f>"3342835200109"</f>
        <v>3342835200109</v>
      </c>
      <c r="R16" s="36"/>
      <c r="S16" s="22">
        <v>3.23</v>
      </c>
      <c r="T16" s="22">
        <v>11.9</v>
      </c>
      <c r="U16" s="22">
        <v>3.0833299999999997</v>
      </c>
      <c r="V16" s="22">
        <v>20</v>
      </c>
      <c r="W16" s="22">
        <v>12</v>
      </c>
      <c r="X16" s="22">
        <v>7</v>
      </c>
      <c r="Y16" s="13">
        <v>37</v>
      </c>
      <c r="Z16" s="22">
        <f t="shared" ref="Z16" si="17">IF(V16&gt;0,(V16*W16*X16)/1728,"")</f>
        <v>0.97222222222222221</v>
      </c>
      <c r="AA16" s="13">
        <v>7</v>
      </c>
      <c r="AB16" s="13">
        <v>7</v>
      </c>
      <c r="AC16" s="13">
        <v>49</v>
      </c>
      <c r="AD16" s="13">
        <f t="shared" ref="AD16" si="18">IF(AB16&gt;0,AB16*X16,"")</f>
        <v>49</v>
      </c>
      <c r="AE16" s="13">
        <f t="shared" ref="AE16" si="19">IF(Y16&gt;0,Y16*(AA16*AB16),"")</f>
        <v>1813</v>
      </c>
      <c r="AG16" s="28" t="str">
        <f>"12x750ml C"</f>
        <v>12x750ml C</v>
      </c>
    </row>
    <row r="17" spans="1:33" x14ac:dyDescent="0.25">
      <c r="A17" s="10" t="e">
        <f>IF(#REF!=0,"Hide","Show")</f>
        <v>#REF!</v>
      </c>
      <c r="B17" s="32" t="str">
        <f>"Domaine Chanson"</f>
        <v>Domaine Chanson</v>
      </c>
      <c r="C17" s="33" t="str">
        <f>"Meursault"</f>
        <v>Meursault</v>
      </c>
      <c r="D17" s="34">
        <v>12</v>
      </c>
      <c r="E17" s="34">
        <v>750</v>
      </c>
      <c r="F17" s="34" t="str">
        <f>"2015"</f>
        <v>2015</v>
      </c>
      <c r="G17" s="34" t="str">
        <f>"White"</f>
        <v>White</v>
      </c>
      <c r="H17" s="35" t="str">
        <f>"BEAUNE"</f>
        <v>BEAUNE</v>
      </c>
      <c r="I17" s="35" t="str">
        <f>"CHARDONNAY"</f>
        <v>CHARDONNAY</v>
      </c>
      <c r="J17" s="13" t="s">
        <v>72</v>
      </c>
      <c r="K17" s="13" t="str">
        <f>VLOOKUP(B17,Sheet1!$A:$D,2,FALSE)</f>
        <v>Yes</v>
      </c>
      <c r="L17" s="13" t="str">
        <f>VLOOKUP(B17,Sheet1!$A:$D,3,FALSE)</f>
        <v>No</v>
      </c>
      <c r="M17" s="13" t="str">
        <f>VLOOKUP(B17,Sheet1!$A:$D,4,FALSE)</f>
        <v>No</v>
      </c>
      <c r="N17" s="9">
        <v>13.5</v>
      </c>
      <c r="O17" s="13" t="str">
        <f t="shared" ref="O17:O18" si="20">IF(LEN(Q17)=12,"UPC",IF(LEN(Q17)&gt;12,"EAN",""))</f>
        <v>EAN</v>
      </c>
      <c r="P17" s="13" t="str">
        <f t="shared" ref="P17:P18" si="21">IF(ISNUMBER(SEARCH("Gift",AG17)),"Gift Box","")</f>
        <v/>
      </c>
      <c r="Q17" s="36" t="str">
        <f>"3342835200109"</f>
        <v>3342835200109</v>
      </c>
      <c r="R17" s="36"/>
      <c r="S17" s="22">
        <v>3.23</v>
      </c>
      <c r="T17" s="22">
        <v>11.9</v>
      </c>
      <c r="U17" s="22">
        <v>3.0833299999999997</v>
      </c>
      <c r="V17" s="22">
        <v>20</v>
      </c>
      <c r="W17" s="22">
        <v>12</v>
      </c>
      <c r="X17" s="22">
        <v>7</v>
      </c>
      <c r="Y17" s="13">
        <v>37</v>
      </c>
      <c r="Z17" s="22">
        <f t="shared" ref="Z17:Z18" si="22">IF(V17&gt;0,(V17*W17*X17)/1728,"")</f>
        <v>0.97222222222222221</v>
      </c>
      <c r="AA17" s="13">
        <v>7</v>
      </c>
      <c r="AB17" s="13">
        <v>7</v>
      </c>
      <c r="AC17" s="13">
        <v>49</v>
      </c>
      <c r="AD17" s="13">
        <f t="shared" ref="AD17:AD18" si="23">IF(AB17&gt;0,AB17*X17,"")</f>
        <v>49</v>
      </c>
      <c r="AE17" s="13">
        <f t="shared" ref="AE17:AE18" si="24">IF(Y17&gt;0,Y17*(AA17*AB17),"")</f>
        <v>1813</v>
      </c>
      <c r="AG17" s="28" t="str">
        <f>"12x750ml C"</f>
        <v>12x750ml C</v>
      </c>
    </row>
    <row r="18" spans="1:33" x14ac:dyDescent="0.25">
      <c r="A18" s="10" t="e">
        <f>IF(#REF!=0,"Hide","Show")</f>
        <v>#REF!</v>
      </c>
      <c r="B18" s="32" t="str">
        <f>"Domaine Chanson"</f>
        <v>Domaine Chanson</v>
      </c>
      <c r="C18" s="33" t="str">
        <f>"Meursault"</f>
        <v>Meursault</v>
      </c>
      <c r="D18" s="34">
        <v>12</v>
      </c>
      <c r="E18" s="34">
        <v>750</v>
      </c>
      <c r="F18" s="34" t="str">
        <f>"2016"</f>
        <v>2016</v>
      </c>
      <c r="G18" s="34" t="str">
        <f>"White"</f>
        <v>White</v>
      </c>
      <c r="H18" s="35" t="str">
        <f>"BEAUNE"</f>
        <v>BEAUNE</v>
      </c>
      <c r="I18" s="35" t="str">
        <f>"CHARDONNAY"</f>
        <v>CHARDONNAY</v>
      </c>
      <c r="J18" s="13" t="s">
        <v>72</v>
      </c>
      <c r="K18" s="13" t="str">
        <f>VLOOKUP(B18,Sheet1!$A:$D,2,FALSE)</f>
        <v>Yes</v>
      </c>
      <c r="L18" s="13" t="str">
        <f>VLOOKUP(B18,Sheet1!$A:$D,3,FALSE)</f>
        <v>No</v>
      </c>
      <c r="M18" s="13" t="str">
        <f>VLOOKUP(B18,Sheet1!$A:$D,4,FALSE)</f>
        <v>No</v>
      </c>
      <c r="N18" s="9">
        <v>0</v>
      </c>
      <c r="O18" s="13" t="str">
        <f t="shared" si="20"/>
        <v/>
      </c>
      <c r="P18" s="13" t="str">
        <f t="shared" si="21"/>
        <v/>
      </c>
      <c r="Q18" s="36"/>
      <c r="R18" s="36"/>
      <c r="S18" s="22">
        <v>3.23</v>
      </c>
      <c r="T18" s="22">
        <v>11.9</v>
      </c>
      <c r="U18" s="22">
        <v>3.0833299999999997</v>
      </c>
      <c r="V18" s="22">
        <v>20</v>
      </c>
      <c r="W18" s="22">
        <v>12</v>
      </c>
      <c r="X18" s="22">
        <v>7</v>
      </c>
      <c r="Y18" s="13">
        <v>37</v>
      </c>
      <c r="Z18" s="22">
        <f t="shared" si="22"/>
        <v>0.97222222222222221</v>
      </c>
      <c r="AA18" s="13">
        <v>7</v>
      </c>
      <c r="AB18" s="13">
        <v>7</v>
      </c>
      <c r="AC18" s="13">
        <v>49</v>
      </c>
      <c r="AD18" s="13">
        <f t="shared" si="23"/>
        <v>49</v>
      </c>
      <c r="AE18" s="13">
        <f t="shared" si="24"/>
        <v>1813</v>
      </c>
      <c r="AG18" s="28" t="str">
        <f>"12x750ml C"</f>
        <v>12x750ml C</v>
      </c>
    </row>
    <row r="19" spans="1:33" x14ac:dyDescent="0.25">
      <c r="A19" s="10" t="e">
        <f>IF(#REF!=0,"Hide","Show")</f>
        <v>#REF!</v>
      </c>
      <c r="B19" s="32" t="s">
        <v>46</v>
      </c>
      <c r="C19" s="33" t="s">
        <v>165</v>
      </c>
      <c r="D19" s="34">
        <v>12</v>
      </c>
      <c r="E19" s="34">
        <v>750</v>
      </c>
      <c r="F19" s="34" t="s">
        <v>97</v>
      </c>
      <c r="G19" s="34" t="s">
        <v>143</v>
      </c>
      <c r="H19" s="35" t="s">
        <v>176</v>
      </c>
      <c r="I19" s="35" t="s">
        <v>147</v>
      </c>
      <c r="J19" s="13" t="s">
        <v>72</v>
      </c>
      <c r="K19" s="13" t="str">
        <f>VLOOKUP(B19,Sheet1!$A:$D,2,FALSE)</f>
        <v>Yes</v>
      </c>
      <c r="L19" s="13" t="str">
        <f>VLOOKUP(B19,Sheet1!$A:$D,3,FALSE)</f>
        <v>No</v>
      </c>
      <c r="M19" s="13" t="str">
        <f>VLOOKUP(B19,Sheet1!$A:$D,4,FALSE)</f>
        <v>No</v>
      </c>
      <c r="N19" s="9">
        <v>13.5</v>
      </c>
      <c r="O19" s="13" t="str">
        <f t="shared" ref="O19:O21" si="25">IF(LEN(Q19)=12,"UPC",IF(LEN(Q19)&gt;12,"EAN",""))</f>
        <v>EAN</v>
      </c>
      <c r="P19" s="13" t="str">
        <f t="shared" ref="P19:P21" si="26">IF(ISNUMBER(SEARCH("Gift",AG19)),"Gift Box","")</f>
        <v/>
      </c>
      <c r="Q19" s="36" t="s">
        <v>154</v>
      </c>
      <c r="R19" s="36" t="s">
        <v>22</v>
      </c>
      <c r="S19" s="22">
        <v>3.23</v>
      </c>
      <c r="T19" s="22">
        <v>11.9</v>
      </c>
      <c r="U19" s="22">
        <v>3.0833299999999997</v>
      </c>
      <c r="V19" s="22">
        <v>20</v>
      </c>
      <c r="W19" s="22">
        <v>12</v>
      </c>
      <c r="X19" s="22">
        <v>7</v>
      </c>
      <c r="Y19" s="13">
        <v>37</v>
      </c>
      <c r="Z19" s="22">
        <f t="shared" ref="Z19:Z21" si="27">IF(V19&gt;0,(V19*W19*X19)/1728,"")</f>
        <v>0.97222222222222221</v>
      </c>
      <c r="AA19" s="13">
        <v>7</v>
      </c>
      <c r="AB19" s="13">
        <v>7</v>
      </c>
      <c r="AC19" s="13">
        <v>49</v>
      </c>
      <c r="AD19" s="13">
        <f t="shared" ref="AD19:AD21" si="28">IF(AB19&gt;0,AB19*X19,"")</f>
        <v>49</v>
      </c>
      <c r="AE19" s="13">
        <f t="shared" ref="AE19:AE21" si="29">IF(Y19&gt;0,Y19*(AA19*AB19),"")</f>
        <v>1813</v>
      </c>
      <c r="AG19" s="28" t="s">
        <v>112</v>
      </c>
    </row>
    <row r="20" spans="1:33" x14ac:dyDescent="0.25">
      <c r="A20" s="10" t="e">
        <f>IF(#REF!=0,"Hide","Show")</f>
        <v>#REF!</v>
      </c>
      <c r="B20" s="32" t="s">
        <v>46</v>
      </c>
      <c r="C20" s="33" t="s">
        <v>165</v>
      </c>
      <c r="D20" s="34">
        <v>12</v>
      </c>
      <c r="E20" s="34">
        <v>750</v>
      </c>
      <c r="F20" s="34" t="s">
        <v>96</v>
      </c>
      <c r="G20" s="34" t="s">
        <v>143</v>
      </c>
      <c r="H20" s="35" t="s">
        <v>176</v>
      </c>
      <c r="I20" s="35" t="s">
        <v>147</v>
      </c>
      <c r="J20" s="13" t="s">
        <v>72</v>
      </c>
      <c r="K20" s="13" t="str">
        <f>VLOOKUP(B20,Sheet1!$A:$D,2,FALSE)</f>
        <v>Yes</v>
      </c>
      <c r="L20" s="13" t="str">
        <f>VLOOKUP(B20,Sheet1!$A:$D,3,FALSE)</f>
        <v>No</v>
      </c>
      <c r="M20" s="13" t="str">
        <f>VLOOKUP(B20,Sheet1!$A:$D,4,FALSE)</f>
        <v>No</v>
      </c>
      <c r="N20" s="9">
        <v>13.5</v>
      </c>
      <c r="O20" s="13" t="str">
        <f t="shared" ref="O20" si="30">IF(LEN(Q20)=12,"UPC",IF(LEN(Q20)&gt;12,"EAN",""))</f>
        <v>EAN</v>
      </c>
      <c r="P20" s="13" t="str">
        <f t="shared" ref="P20" si="31">IF(ISNUMBER(SEARCH("Gift",AG20)),"Gift Box","")</f>
        <v/>
      </c>
      <c r="Q20" s="36" t="s">
        <v>154</v>
      </c>
      <c r="R20" s="36" t="s">
        <v>22</v>
      </c>
      <c r="S20" s="22">
        <v>3.23</v>
      </c>
      <c r="T20" s="22">
        <v>11.9</v>
      </c>
      <c r="U20" s="22">
        <v>3.0833299999999997</v>
      </c>
      <c r="V20" s="22">
        <v>20</v>
      </c>
      <c r="W20" s="22">
        <v>12</v>
      </c>
      <c r="X20" s="22">
        <v>7</v>
      </c>
      <c r="Y20" s="13">
        <v>37</v>
      </c>
      <c r="Z20" s="22">
        <f t="shared" ref="Z20" si="32">IF(V20&gt;0,(V20*W20*X20)/1728,"")</f>
        <v>0.97222222222222221</v>
      </c>
      <c r="AA20" s="13">
        <v>7</v>
      </c>
      <c r="AB20" s="13">
        <v>7</v>
      </c>
      <c r="AC20" s="13">
        <v>49</v>
      </c>
      <c r="AD20" s="13">
        <f t="shared" ref="AD20" si="33">IF(AB20&gt;0,AB20*X20,"")</f>
        <v>49</v>
      </c>
      <c r="AE20" s="13">
        <f t="shared" ref="AE20" si="34">IF(Y20&gt;0,Y20*(AA20*AB20),"")</f>
        <v>1813</v>
      </c>
      <c r="AG20" s="28" t="s">
        <v>112</v>
      </c>
    </row>
    <row r="21" spans="1:33" x14ac:dyDescent="0.25">
      <c r="A21" s="10" t="e">
        <f>IF(#REF!=0,"Hide","Show")</f>
        <v>#REF!</v>
      </c>
      <c r="B21" s="32" t="s">
        <v>46</v>
      </c>
      <c r="C21" s="33" t="s">
        <v>166</v>
      </c>
      <c r="D21" s="34">
        <v>12</v>
      </c>
      <c r="E21" s="34">
        <v>750</v>
      </c>
      <c r="F21" s="34" t="s">
        <v>96</v>
      </c>
      <c r="G21" s="34" t="s">
        <v>143</v>
      </c>
      <c r="H21" s="35" t="s">
        <v>177</v>
      </c>
      <c r="I21" s="35" t="s">
        <v>147</v>
      </c>
      <c r="J21" s="13" t="s">
        <v>72</v>
      </c>
      <c r="K21" s="13" t="str">
        <f>VLOOKUP(B21,Sheet1!$A:$D,2,FALSE)</f>
        <v>Yes</v>
      </c>
      <c r="L21" s="13" t="str">
        <f>VLOOKUP(B21,Sheet1!$A:$D,3,FALSE)</f>
        <v>No</v>
      </c>
      <c r="M21" s="13" t="str">
        <f>VLOOKUP(B21,Sheet1!$A:$D,4,FALSE)</f>
        <v>No</v>
      </c>
      <c r="N21" s="9">
        <v>13</v>
      </c>
      <c r="O21" s="13" t="str">
        <f t="shared" si="25"/>
        <v>EAN</v>
      </c>
      <c r="P21" s="13" t="str">
        <f t="shared" si="26"/>
        <v/>
      </c>
      <c r="Q21" s="36" t="s">
        <v>155</v>
      </c>
      <c r="R21" s="36" t="s">
        <v>22</v>
      </c>
      <c r="S21" s="22">
        <v>3.23</v>
      </c>
      <c r="T21" s="22">
        <v>11.9</v>
      </c>
      <c r="U21" s="22">
        <v>3.0833299999999997</v>
      </c>
      <c r="V21" s="22">
        <v>20</v>
      </c>
      <c r="W21" s="22">
        <v>12</v>
      </c>
      <c r="X21" s="22">
        <v>7</v>
      </c>
      <c r="Y21" s="13">
        <v>37</v>
      </c>
      <c r="Z21" s="22">
        <f t="shared" si="27"/>
        <v>0.97222222222222221</v>
      </c>
      <c r="AA21" s="13">
        <v>7</v>
      </c>
      <c r="AB21" s="13">
        <v>7</v>
      </c>
      <c r="AC21" s="13">
        <v>49</v>
      </c>
      <c r="AD21" s="13">
        <f t="shared" si="28"/>
        <v>49</v>
      </c>
      <c r="AE21" s="13">
        <f t="shared" si="29"/>
        <v>1813</v>
      </c>
      <c r="AG21" s="28" t="s">
        <v>112</v>
      </c>
    </row>
    <row r="22" spans="1:33" ht="6" customHeight="1" x14ac:dyDescent="0.25">
      <c r="B22" s="15"/>
      <c r="C22" s="12"/>
      <c r="D22" s="12"/>
      <c r="E22" s="12"/>
      <c r="F22" s="1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4"/>
      <c r="T22" s="24"/>
      <c r="U22" s="24"/>
      <c r="V22" s="24"/>
      <c r="W22" s="24"/>
      <c r="X22" s="24"/>
      <c r="Y22" s="12"/>
      <c r="Z22" s="12"/>
      <c r="AA22" s="12"/>
      <c r="AB22" s="12"/>
      <c r="AC22" s="12"/>
      <c r="AD22" s="12"/>
      <c r="AE22" s="12"/>
      <c r="AG22" s="27"/>
    </row>
    <row r="23" spans="1:33" x14ac:dyDescent="0.25">
      <c r="B23" s="21" t="str">
        <f>"BEAUNE WHITE PREMIER CRU"</f>
        <v>BEAUNE WHITE PREMIER CRU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3"/>
      <c r="T23" s="23"/>
      <c r="U23" s="23"/>
      <c r="V23" s="23"/>
      <c r="W23" s="23"/>
      <c r="X23" s="23"/>
      <c r="Y23" s="11"/>
      <c r="Z23" s="11"/>
      <c r="AA23" s="11"/>
      <c r="AB23" s="11"/>
      <c r="AC23" s="11"/>
      <c r="AD23" s="11"/>
      <c r="AE23" s="11"/>
      <c r="AG23" s="28"/>
    </row>
    <row r="24" spans="1:33" x14ac:dyDescent="0.25">
      <c r="A24" s="10" t="e">
        <f>IF(#REF!=0,"Hide","Show")</f>
        <v>#REF!</v>
      </c>
      <c r="B24" s="32" t="s">
        <v>46</v>
      </c>
      <c r="C24" s="33" t="s">
        <v>167</v>
      </c>
      <c r="D24" s="34">
        <v>12</v>
      </c>
      <c r="E24" s="34">
        <v>750</v>
      </c>
      <c r="F24" s="34" t="s">
        <v>97</v>
      </c>
      <c r="G24" s="34" t="s">
        <v>143</v>
      </c>
      <c r="H24" s="35" t="s">
        <v>110</v>
      </c>
      <c r="I24" s="35" t="s">
        <v>147</v>
      </c>
      <c r="J24" s="13" t="s">
        <v>72</v>
      </c>
      <c r="K24" s="13" t="str">
        <f>VLOOKUP(B24,Sheet1!$A:$D,2,FALSE)</f>
        <v>Yes</v>
      </c>
      <c r="L24" s="13" t="str">
        <f>VLOOKUP(B24,Sheet1!$A:$D,3,FALSE)</f>
        <v>No</v>
      </c>
      <c r="M24" s="13" t="str">
        <f>VLOOKUP(B24,Sheet1!$A:$D,4,FALSE)</f>
        <v>No</v>
      </c>
      <c r="N24" s="9">
        <v>13.5</v>
      </c>
      <c r="O24" s="13" t="str">
        <f t="shared" ref="O24" si="35">IF(LEN(Q24)=12,"UPC",IF(LEN(Q24)&gt;12,"EAN",""))</f>
        <v>EAN</v>
      </c>
      <c r="P24" s="13" t="str">
        <f t="shared" ref="P24" si="36">IF(ISNUMBER(SEARCH("Gift",AG24)),"Gift Box","")</f>
        <v/>
      </c>
      <c r="Q24" s="36" t="s">
        <v>156</v>
      </c>
      <c r="R24" s="36" t="s">
        <v>22</v>
      </c>
      <c r="S24" s="22">
        <v>3.23</v>
      </c>
      <c r="T24" s="22">
        <v>11.9</v>
      </c>
      <c r="U24" s="22">
        <v>3.0833299999999997</v>
      </c>
      <c r="V24" s="22">
        <v>20</v>
      </c>
      <c r="W24" s="22">
        <v>12</v>
      </c>
      <c r="X24" s="22">
        <v>7</v>
      </c>
      <c r="Y24" s="13">
        <v>37</v>
      </c>
      <c r="Z24" s="22">
        <f t="shared" ref="Z24" si="37">IF(V24&gt;0,(V24*W24*X24)/1728,"")</f>
        <v>0.97222222222222221</v>
      </c>
      <c r="AA24" s="13">
        <v>7</v>
      </c>
      <c r="AB24" s="13">
        <v>7</v>
      </c>
      <c r="AC24" s="13">
        <v>49</v>
      </c>
      <c r="AD24" s="13">
        <f t="shared" ref="AD24" si="38">IF(AB24&gt;0,AB24*X24,"")</f>
        <v>49</v>
      </c>
      <c r="AE24" s="13">
        <f t="shared" ref="AE24" si="39">IF(Y24&gt;0,Y24*(AA24*AB24),"")</f>
        <v>1813</v>
      </c>
      <c r="AG24" s="28" t="s">
        <v>112</v>
      </c>
    </row>
    <row r="25" spans="1:33" x14ac:dyDescent="0.25">
      <c r="A25" s="10" t="e">
        <f>IF(#REF!=0,"Hide","Show")</f>
        <v>#REF!</v>
      </c>
      <c r="B25" s="32" t="s">
        <v>46</v>
      </c>
      <c r="C25" s="33" t="s">
        <v>168</v>
      </c>
      <c r="D25" s="34">
        <v>6</v>
      </c>
      <c r="E25" s="34">
        <v>750</v>
      </c>
      <c r="F25" s="34" t="s">
        <v>97</v>
      </c>
      <c r="G25" s="34" t="s">
        <v>143</v>
      </c>
      <c r="H25" s="35" t="s">
        <v>106</v>
      </c>
      <c r="I25" s="35" t="s">
        <v>147</v>
      </c>
      <c r="J25" s="13" t="s">
        <v>72</v>
      </c>
      <c r="K25" s="13" t="str">
        <f>VLOOKUP(B25,Sheet1!$A:$D,2,FALSE)</f>
        <v>Yes</v>
      </c>
      <c r="L25" s="13" t="str">
        <f>VLOOKUP(B25,Sheet1!$A:$D,3,FALSE)</f>
        <v>No</v>
      </c>
      <c r="M25" s="13" t="str">
        <f>VLOOKUP(B25,Sheet1!$A:$D,4,FALSE)</f>
        <v>No</v>
      </c>
      <c r="N25" s="9">
        <v>13.5</v>
      </c>
      <c r="O25" s="13" t="str">
        <f t="shared" ref="O25:O37" si="40">IF(LEN(Q25)=12,"UPC",IF(LEN(Q25)&gt;12,"EAN",""))</f>
        <v>EAN</v>
      </c>
      <c r="P25" s="13" t="str">
        <f t="shared" ref="P25:P37" si="41">IF(ISNUMBER(SEARCH("Gift",AG25)),"Gift Box","")</f>
        <v/>
      </c>
      <c r="Q25" s="36" t="s">
        <v>157</v>
      </c>
      <c r="R25" s="36" t="s">
        <v>22</v>
      </c>
      <c r="S25" s="22">
        <v>3.23</v>
      </c>
      <c r="T25" s="22">
        <v>11.9</v>
      </c>
      <c r="U25" s="22">
        <v>3.1666700000000003</v>
      </c>
      <c r="V25" s="22">
        <v>20</v>
      </c>
      <c r="W25" s="22">
        <v>12</v>
      </c>
      <c r="X25" s="22">
        <v>4</v>
      </c>
      <c r="Y25" s="13">
        <v>19</v>
      </c>
      <c r="Z25" s="22">
        <f t="shared" ref="Z25:Z37" si="42">IF(V25&gt;0,(V25*W25*X25)/1728,"")</f>
        <v>0.55555555555555558</v>
      </c>
      <c r="AA25" s="13">
        <v>14</v>
      </c>
      <c r="AB25" s="13">
        <v>7</v>
      </c>
      <c r="AC25" s="13">
        <v>98</v>
      </c>
      <c r="AD25" s="13">
        <f t="shared" ref="AD25:AD37" si="43">IF(AB25&gt;0,AB25*X25,"")</f>
        <v>28</v>
      </c>
      <c r="AE25" s="13">
        <f t="shared" ref="AE25:AE37" si="44">IF(Y25&gt;0,Y25*(AA25*AB25),"")</f>
        <v>1862</v>
      </c>
      <c r="AG25" s="28" t="s">
        <v>73</v>
      </c>
    </row>
    <row r="26" spans="1:33" x14ac:dyDescent="0.25">
      <c r="A26" s="10" t="e">
        <f>IF(#REF!=0,"Hide","Show")</f>
        <v>#REF!</v>
      </c>
      <c r="B26" s="32" t="s">
        <v>46</v>
      </c>
      <c r="C26" s="33" t="s">
        <v>168</v>
      </c>
      <c r="D26" s="34">
        <v>6</v>
      </c>
      <c r="E26" s="34">
        <v>750</v>
      </c>
      <c r="F26" s="34" t="s">
        <v>96</v>
      </c>
      <c r="G26" s="34" t="s">
        <v>143</v>
      </c>
      <c r="H26" s="35" t="s">
        <v>106</v>
      </c>
      <c r="I26" s="35" t="s">
        <v>147</v>
      </c>
      <c r="J26" s="13" t="s">
        <v>72</v>
      </c>
      <c r="K26" s="13" t="str">
        <f>VLOOKUP(B26,Sheet1!$A:$D,2,FALSE)</f>
        <v>Yes</v>
      </c>
      <c r="L26" s="13" t="str">
        <f>VLOOKUP(B26,Sheet1!$A:$D,3,FALSE)</f>
        <v>No</v>
      </c>
      <c r="M26" s="13" t="str">
        <f>VLOOKUP(B26,Sheet1!$A:$D,4,FALSE)</f>
        <v>No</v>
      </c>
      <c r="N26" s="9">
        <v>14</v>
      </c>
      <c r="O26" s="13" t="str">
        <f t="shared" ref="O26" si="45">IF(LEN(Q26)=12,"UPC",IF(LEN(Q26)&gt;12,"EAN",""))</f>
        <v>EAN</v>
      </c>
      <c r="P26" s="13" t="str">
        <f t="shared" ref="P26" si="46">IF(ISNUMBER(SEARCH("Gift",AG26)),"Gift Box","")</f>
        <v/>
      </c>
      <c r="Q26" s="36" t="s">
        <v>157</v>
      </c>
      <c r="R26" s="36" t="s">
        <v>22</v>
      </c>
      <c r="S26" s="22">
        <v>3.23</v>
      </c>
      <c r="T26" s="22">
        <v>11.9</v>
      </c>
      <c r="U26" s="22">
        <v>3.1666700000000003</v>
      </c>
      <c r="V26" s="22">
        <v>20</v>
      </c>
      <c r="W26" s="22">
        <v>12</v>
      </c>
      <c r="X26" s="22">
        <v>4</v>
      </c>
      <c r="Y26" s="13">
        <v>19</v>
      </c>
      <c r="Z26" s="22">
        <f t="shared" ref="Z26" si="47">IF(V26&gt;0,(V26*W26*X26)/1728,"")</f>
        <v>0.55555555555555558</v>
      </c>
      <c r="AA26" s="13">
        <v>14</v>
      </c>
      <c r="AB26" s="13">
        <v>7</v>
      </c>
      <c r="AC26" s="13">
        <v>98</v>
      </c>
      <c r="AD26" s="13">
        <f t="shared" ref="AD26" si="48">IF(AB26&gt;0,AB26*X26,"")</f>
        <v>28</v>
      </c>
      <c r="AE26" s="13">
        <f t="shared" ref="AE26" si="49">IF(Y26&gt;0,Y26*(AA26*AB26),"")</f>
        <v>1862</v>
      </c>
      <c r="AG26" s="28" t="s">
        <v>73</v>
      </c>
    </row>
    <row r="27" spans="1:33" x14ac:dyDescent="0.25">
      <c r="A27" s="10" t="e">
        <f>IF(#REF!=0,"Hide","Show")</f>
        <v>#REF!</v>
      </c>
      <c r="B27" s="32" t="s">
        <v>46</v>
      </c>
      <c r="C27" s="33" t="s">
        <v>169</v>
      </c>
      <c r="D27" s="34">
        <v>6</v>
      </c>
      <c r="E27" s="34">
        <v>750</v>
      </c>
      <c r="F27" s="34" t="s">
        <v>97</v>
      </c>
      <c r="G27" s="34" t="s">
        <v>143</v>
      </c>
      <c r="H27" s="35" t="s">
        <v>178</v>
      </c>
      <c r="I27" s="35" t="s">
        <v>147</v>
      </c>
      <c r="J27" s="13" t="s">
        <v>72</v>
      </c>
      <c r="K27" s="13" t="str">
        <f>VLOOKUP(B27,Sheet1!$A:$D,2,FALSE)</f>
        <v>Yes</v>
      </c>
      <c r="L27" s="13" t="str">
        <f>VLOOKUP(B27,Sheet1!$A:$D,3,FALSE)</f>
        <v>No</v>
      </c>
      <c r="M27" s="13" t="str">
        <f>VLOOKUP(B27,Sheet1!$A:$D,4,FALSE)</f>
        <v>No</v>
      </c>
      <c r="N27" s="9">
        <v>13.5</v>
      </c>
      <c r="O27" s="13" t="str">
        <f t="shared" si="40"/>
        <v>EAN</v>
      </c>
      <c r="P27" s="13" t="str">
        <f t="shared" si="41"/>
        <v/>
      </c>
      <c r="Q27" s="36" t="s">
        <v>158</v>
      </c>
      <c r="R27" s="36" t="s">
        <v>22</v>
      </c>
      <c r="S27" s="22">
        <v>3.23</v>
      </c>
      <c r="T27" s="22">
        <v>11.9</v>
      </c>
      <c r="U27" s="22">
        <v>3.1666700000000003</v>
      </c>
      <c r="V27" s="22">
        <v>20</v>
      </c>
      <c r="W27" s="22">
        <v>12</v>
      </c>
      <c r="X27" s="22">
        <v>4</v>
      </c>
      <c r="Y27" s="13">
        <v>19</v>
      </c>
      <c r="Z27" s="22">
        <f t="shared" si="42"/>
        <v>0.55555555555555558</v>
      </c>
      <c r="AA27" s="13">
        <v>14</v>
      </c>
      <c r="AB27" s="13">
        <v>7</v>
      </c>
      <c r="AC27" s="13">
        <v>98</v>
      </c>
      <c r="AD27" s="13">
        <f t="shared" si="43"/>
        <v>28</v>
      </c>
      <c r="AE27" s="13">
        <f t="shared" si="44"/>
        <v>1862</v>
      </c>
      <c r="AG27" s="28" t="s">
        <v>73</v>
      </c>
    </row>
    <row r="28" spans="1:33" x14ac:dyDescent="0.25">
      <c r="A28" s="10" t="e">
        <f>IF(#REF!=0,"Hide","Show")</f>
        <v>#REF!</v>
      </c>
      <c r="B28" s="32" t="s">
        <v>46</v>
      </c>
      <c r="C28" s="33" t="s">
        <v>170</v>
      </c>
      <c r="D28" s="34">
        <v>6</v>
      </c>
      <c r="E28" s="34">
        <v>750</v>
      </c>
      <c r="F28" s="34" t="s">
        <v>97</v>
      </c>
      <c r="G28" s="34" t="s">
        <v>143</v>
      </c>
      <c r="H28" s="35" t="s">
        <v>110</v>
      </c>
      <c r="I28" s="35" t="s">
        <v>147</v>
      </c>
      <c r="J28" s="13" t="s">
        <v>72</v>
      </c>
      <c r="K28" s="13" t="str">
        <f>VLOOKUP(B28,Sheet1!$A:$D,2,FALSE)</f>
        <v>Yes</v>
      </c>
      <c r="L28" s="13" t="str">
        <f>VLOOKUP(B28,Sheet1!$A:$D,3,FALSE)</f>
        <v>No</v>
      </c>
      <c r="M28" s="13" t="str">
        <f>VLOOKUP(B28,Sheet1!$A:$D,4,FALSE)</f>
        <v>No</v>
      </c>
      <c r="N28" s="9">
        <v>14</v>
      </c>
      <c r="O28" s="13" t="str">
        <f t="shared" si="40"/>
        <v>EAN</v>
      </c>
      <c r="P28" s="13" t="str">
        <f t="shared" si="41"/>
        <v/>
      </c>
      <c r="Q28" s="36" t="s">
        <v>159</v>
      </c>
      <c r="R28" s="36" t="s">
        <v>22</v>
      </c>
      <c r="S28" s="22">
        <v>3.23</v>
      </c>
      <c r="T28" s="22">
        <v>11.9</v>
      </c>
      <c r="U28" s="22">
        <v>3.8333299999999997</v>
      </c>
      <c r="V28" s="22">
        <v>12</v>
      </c>
      <c r="W28" s="22">
        <v>11</v>
      </c>
      <c r="X28" s="22">
        <v>7</v>
      </c>
      <c r="Y28" s="13">
        <v>23</v>
      </c>
      <c r="Z28" s="22">
        <f t="shared" si="42"/>
        <v>0.53472222222222221</v>
      </c>
      <c r="AA28" s="13">
        <v>12</v>
      </c>
      <c r="AB28" s="13">
        <v>7</v>
      </c>
      <c r="AC28" s="13">
        <v>84</v>
      </c>
      <c r="AD28" s="13">
        <f t="shared" si="43"/>
        <v>49</v>
      </c>
      <c r="AE28" s="13">
        <f t="shared" si="44"/>
        <v>1932</v>
      </c>
      <c r="AG28" s="28" t="s">
        <v>74</v>
      </c>
    </row>
    <row r="29" spans="1:33" x14ac:dyDescent="0.25">
      <c r="A29" s="10" t="e">
        <f>IF(#REF!=0,"Hide","Show")</f>
        <v>#REF!</v>
      </c>
      <c r="B29" s="32" t="s">
        <v>46</v>
      </c>
      <c r="C29" s="33" t="s">
        <v>170</v>
      </c>
      <c r="D29" s="34">
        <v>6</v>
      </c>
      <c r="E29" s="34">
        <v>750</v>
      </c>
      <c r="F29" s="34" t="s">
        <v>96</v>
      </c>
      <c r="G29" s="34" t="s">
        <v>143</v>
      </c>
      <c r="H29" s="35" t="s">
        <v>110</v>
      </c>
      <c r="I29" s="35" t="s">
        <v>147</v>
      </c>
      <c r="J29" s="13" t="s">
        <v>72</v>
      </c>
      <c r="K29" s="13" t="str">
        <f>VLOOKUP(B29,Sheet1!$A:$D,2,FALSE)</f>
        <v>Yes</v>
      </c>
      <c r="L29" s="13" t="str">
        <f>VLOOKUP(B29,Sheet1!$A:$D,3,FALSE)</f>
        <v>No</v>
      </c>
      <c r="M29" s="13" t="str">
        <f>VLOOKUP(B29,Sheet1!$A:$D,4,FALSE)</f>
        <v>No</v>
      </c>
      <c r="N29" s="9">
        <v>13.5</v>
      </c>
      <c r="O29" s="13" t="str">
        <f t="shared" ref="O29" si="50">IF(LEN(Q29)=12,"UPC",IF(LEN(Q29)&gt;12,"EAN",""))</f>
        <v>EAN</v>
      </c>
      <c r="P29" s="13" t="str">
        <f t="shared" ref="P29" si="51">IF(ISNUMBER(SEARCH("Gift",AG29)),"Gift Box","")</f>
        <v/>
      </c>
      <c r="Q29" s="36" t="s">
        <v>159</v>
      </c>
      <c r="R29" s="36" t="s">
        <v>22</v>
      </c>
      <c r="S29" s="22">
        <v>3.23</v>
      </c>
      <c r="T29" s="22">
        <v>11.9</v>
      </c>
      <c r="U29" s="22">
        <v>3.8333299999999997</v>
      </c>
      <c r="V29" s="22">
        <v>12</v>
      </c>
      <c r="W29" s="22">
        <v>11</v>
      </c>
      <c r="X29" s="22">
        <v>7</v>
      </c>
      <c r="Y29" s="13">
        <v>23</v>
      </c>
      <c r="Z29" s="22">
        <f t="shared" ref="Z29" si="52">IF(V29&gt;0,(V29*W29*X29)/1728,"")</f>
        <v>0.53472222222222221</v>
      </c>
      <c r="AA29" s="13">
        <v>12</v>
      </c>
      <c r="AB29" s="13">
        <v>7</v>
      </c>
      <c r="AC29" s="13">
        <v>84</v>
      </c>
      <c r="AD29" s="13">
        <f t="shared" ref="AD29" si="53">IF(AB29&gt;0,AB29*X29,"")</f>
        <v>49</v>
      </c>
      <c r="AE29" s="13">
        <f t="shared" ref="AE29" si="54">IF(Y29&gt;0,Y29*(AA29*AB29),"")</f>
        <v>1932</v>
      </c>
      <c r="AG29" s="28" t="s">
        <v>74</v>
      </c>
    </row>
    <row r="30" spans="1:33" x14ac:dyDescent="0.25">
      <c r="A30" s="10" t="e">
        <f>IF(#REF!=0,"Hide","Show")</f>
        <v>#REF!</v>
      </c>
      <c r="B30" s="32" t="s">
        <v>46</v>
      </c>
      <c r="C30" s="33" t="s">
        <v>171</v>
      </c>
      <c r="D30" s="34">
        <v>6</v>
      </c>
      <c r="E30" s="34">
        <v>750</v>
      </c>
      <c r="F30" s="34" t="s">
        <v>101</v>
      </c>
      <c r="G30" s="34" t="s">
        <v>143</v>
      </c>
      <c r="H30" s="35" t="s">
        <v>106</v>
      </c>
      <c r="I30" s="35" t="s">
        <v>111</v>
      </c>
      <c r="J30" s="13" t="s">
        <v>72</v>
      </c>
      <c r="K30" s="13" t="str">
        <f>VLOOKUP(B30,Sheet1!$A:$D,2,FALSE)</f>
        <v>Yes</v>
      </c>
      <c r="L30" s="13" t="str">
        <f>VLOOKUP(B30,Sheet1!$A:$D,3,FALSE)</f>
        <v>No</v>
      </c>
      <c r="M30" s="13" t="str">
        <f>VLOOKUP(B30,Sheet1!$A:$D,4,FALSE)</f>
        <v>No</v>
      </c>
      <c r="N30" s="9">
        <v>13</v>
      </c>
      <c r="O30" s="13" t="str">
        <f t="shared" si="40"/>
        <v>EAN</v>
      </c>
      <c r="P30" s="13" t="str">
        <f t="shared" si="41"/>
        <v/>
      </c>
      <c r="Q30" s="36" t="s">
        <v>160</v>
      </c>
      <c r="R30" s="36" t="s">
        <v>22</v>
      </c>
      <c r="S30" s="22">
        <v>3.23</v>
      </c>
      <c r="T30" s="22">
        <v>11.9</v>
      </c>
      <c r="U30" s="22">
        <v>3.1666700000000003</v>
      </c>
      <c r="V30" s="22">
        <v>20</v>
      </c>
      <c r="W30" s="22">
        <v>12</v>
      </c>
      <c r="X30" s="22">
        <v>4</v>
      </c>
      <c r="Y30" s="13">
        <v>19</v>
      </c>
      <c r="Z30" s="22">
        <f t="shared" si="42"/>
        <v>0.55555555555555558</v>
      </c>
      <c r="AA30" s="13">
        <v>14</v>
      </c>
      <c r="AB30" s="13">
        <v>7</v>
      </c>
      <c r="AC30" s="13">
        <v>98</v>
      </c>
      <c r="AD30" s="13">
        <f t="shared" si="43"/>
        <v>28</v>
      </c>
      <c r="AE30" s="13">
        <f t="shared" si="44"/>
        <v>1862</v>
      </c>
      <c r="AG30" s="28" t="s">
        <v>73</v>
      </c>
    </row>
    <row r="31" spans="1:33" x14ac:dyDescent="0.25">
      <c r="A31" s="10" t="e">
        <f>IF(#REF!=0,"Hide","Show")</f>
        <v>#REF!</v>
      </c>
      <c r="B31" s="32" t="s">
        <v>46</v>
      </c>
      <c r="C31" s="33" t="s">
        <v>171</v>
      </c>
      <c r="D31" s="34">
        <v>6</v>
      </c>
      <c r="E31" s="34">
        <v>750</v>
      </c>
      <c r="F31" s="34" t="s">
        <v>96</v>
      </c>
      <c r="G31" s="34" t="s">
        <v>143</v>
      </c>
      <c r="H31" s="35" t="s">
        <v>106</v>
      </c>
      <c r="I31" s="35" t="s">
        <v>111</v>
      </c>
      <c r="J31" s="13" t="s">
        <v>72</v>
      </c>
      <c r="K31" s="13" t="str">
        <f>VLOOKUP(B31,Sheet1!$A:$D,2,FALSE)</f>
        <v>Yes</v>
      </c>
      <c r="L31" s="13" t="str">
        <f>VLOOKUP(B31,Sheet1!$A:$D,3,FALSE)</f>
        <v>No</v>
      </c>
      <c r="M31" s="13" t="str">
        <f>VLOOKUP(B31,Sheet1!$A:$D,4,FALSE)</f>
        <v>No</v>
      </c>
      <c r="N31" s="9">
        <v>13</v>
      </c>
      <c r="O31" s="13" t="str">
        <f t="shared" ref="O31" si="55">IF(LEN(Q31)=12,"UPC",IF(LEN(Q31)&gt;12,"EAN",""))</f>
        <v>EAN</v>
      </c>
      <c r="P31" s="13" t="str">
        <f t="shared" ref="P31" si="56">IF(ISNUMBER(SEARCH("Gift",AG31)),"Gift Box","")</f>
        <v/>
      </c>
      <c r="Q31" s="36" t="s">
        <v>160</v>
      </c>
      <c r="R31" s="36" t="s">
        <v>22</v>
      </c>
      <c r="S31" s="22">
        <v>3.23</v>
      </c>
      <c r="T31" s="22">
        <v>11.9</v>
      </c>
      <c r="U31" s="22">
        <v>3.1666700000000003</v>
      </c>
      <c r="V31" s="22">
        <v>20</v>
      </c>
      <c r="W31" s="22">
        <v>12</v>
      </c>
      <c r="X31" s="22">
        <v>4</v>
      </c>
      <c r="Y31" s="13">
        <v>19</v>
      </c>
      <c r="Z31" s="22">
        <f t="shared" ref="Z31" si="57">IF(V31&gt;0,(V31*W31*X31)/1728,"")</f>
        <v>0.55555555555555558</v>
      </c>
      <c r="AA31" s="13">
        <v>14</v>
      </c>
      <c r="AB31" s="13">
        <v>7</v>
      </c>
      <c r="AC31" s="13">
        <v>98</v>
      </c>
      <c r="AD31" s="13">
        <f t="shared" ref="AD31" si="58">IF(AB31&gt;0,AB31*X31,"")</f>
        <v>28</v>
      </c>
      <c r="AE31" s="13">
        <f t="shared" ref="AE31" si="59">IF(Y31&gt;0,Y31*(AA31*AB31),"")</f>
        <v>1862</v>
      </c>
      <c r="AG31" s="28" t="s">
        <v>73</v>
      </c>
    </row>
    <row r="32" spans="1:33" x14ac:dyDescent="0.25">
      <c r="A32" s="10" t="e">
        <f>IF(#REF!=0,"Hide","Show")</f>
        <v>#REF!</v>
      </c>
      <c r="B32" s="32" t="s">
        <v>46</v>
      </c>
      <c r="C32" s="33" t="s">
        <v>172</v>
      </c>
      <c r="D32" s="34">
        <v>6</v>
      </c>
      <c r="E32" s="34">
        <v>750</v>
      </c>
      <c r="F32" s="34" t="s">
        <v>97</v>
      </c>
      <c r="G32" s="34" t="s">
        <v>143</v>
      </c>
      <c r="H32" s="35" t="s">
        <v>106</v>
      </c>
      <c r="I32" s="35" t="s">
        <v>147</v>
      </c>
      <c r="J32" s="13" t="s">
        <v>72</v>
      </c>
      <c r="K32" s="13" t="str">
        <f>VLOOKUP(B32,Sheet1!$A:$D,2,FALSE)</f>
        <v>Yes</v>
      </c>
      <c r="L32" s="13" t="str">
        <f>VLOOKUP(B32,Sheet1!$A:$D,3,FALSE)</f>
        <v>No</v>
      </c>
      <c r="M32" s="13" t="str">
        <f>VLOOKUP(B32,Sheet1!$A:$D,4,FALSE)</f>
        <v>No</v>
      </c>
      <c r="N32" s="9">
        <v>13.5</v>
      </c>
      <c r="O32" s="13" t="str">
        <f t="shared" si="40"/>
        <v>EAN</v>
      </c>
      <c r="P32" s="13" t="str">
        <f t="shared" si="41"/>
        <v/>
      </c>
      <c r="Q32" s="36" t="s">
        <v>161</v>
      </c>
      <c r="R32" s="36" t="s">
        <v>22</v>
      </c>
      <c r="S32" s="22">
        <v>3.23</v>
      </c>
      <c r="T32" s="22">
        <v>11.9</v>
      </c>
      <c r="U32" s="22">
        <v>3.1666700000000003</v>
      </c>
      <c r="V32" s="22">
        <v>20</v>
      </c>
      <c r="W32" s="22">
        <v>12</v>
      </c>
      <c r="X32" s="22">
        <v>4</v>
      </c>
      <c r="Y32" s="13">
        <v>19</v>
      </c>
      <c r="Z32" s="22">
        <f t="shared" si="42"/>
        <v>0.55555555555555558</v>
      </c>
      <c r="AA32" s="13">
        <v>14</v>
      </c>
      <c r="AB32" s="13">
        <v>7</v>
      </c>
      <c r="AC32" s="13">
        <v>98</v>
      </c>
      <c r="AD32" s="13">
        <f t="shared" si="43"/>
        <v>28</v>
      </c>
      <c r="AE32" s="13">
        <f t="shared" si="44"/>
        <v>1862</v>
      </c>
      <c r="AG32" s="28" t="s">
        <v>73</v>
      </c>
    </row>
    <row r="33" spans="1:33" x14ac:dyDescent="0.25">
      <c r="A33" s="10" t="e">
        <f>IF(#REF!=0,"Hide","Show")</f>
        <v>#REF!</v>
      </c>
      <c r="B33" s="32" t="s">
        <v>46</v>
      </c>
      <c r="C33" s="33" t="s">
        <v>172</v>
      </c>
      <c r="D33" s="34">
        <v>6</v>
      </c>
      <c r="E33" s="34">
        <v>750</v>
      </c>
      <c r="F33" s="34" t="s">
        <v>96</v>
      </c>
      <c r="G33" s="34" t="s">
        <v>143</v>
      </c>
      <c r="H33" s="35" t="s">
        <v>106</v>
      </c>
      <c r="I33" s="35" t="s">
        <v>147</v>
      </c>
      <c r="J33" s="13" t="s">
        <v>72</v>
      </c>
      <c r="K33" s="13" t="str">
        <f>VLOOKUP(B33,Sheet1!$A:$D,2,FALSE)</f>
        <v>Yes</v>
      </c>
      <c r="L33" s="13" t="str">
        <f>VLOOKUP(B33,Sheet1!$A:$D,3,FALSE)</f>
        <v>No</v>
      </c>
      <c r="M33" s="13" t="str">
        <f>VLOOKUP(B33,Sheet1!$A:$D,4,FALSE)</f>
        <v>No</v>
      </c>
      <c r="N33" s="9">
        <v>13.5</v>
      </c>
      <c r="O33" s="13" t="str">
        <f t="shared" ref="O33" si="60">IF(LEN(Q33)=12,"UPC",IF(LEN(Q33)&gt;12,"EAN",""))</f>
        <v>EAN</v>
      </c>
      <c r="P33" s="13" t="str">
        <f t="shared" ref="P33" si="61">IF(ISNUMBER(SEARCH("Gift",AG33)),"Gift Box","")</f>
        <v/>
      </c>
      <c r="Q33" s="36" t="s">
        <v>161</v>
      </c>
      <c r="R33" s="36" t="s">
        <v>22</v>
      </c>
      <c r="S33" s="22">
        <v>3.23</v>
      </c>
      <c r="T33" s="22">
        <v>11.9</v>
      </c>
      <c r="U33" s="22">
        <v>3.1666700000000003</v>
      </c>
      <c r="V33" s="22">
        <v>20</v>
      </c>
      <c r="W33" s="22">
        <v>12</v>
      </c>
      <c r="X33" s="22">
        <v>4</v>
      </c>
      <c r="Y33" s="13">
        <v>19</v>
      </c>
      <c r="Z33" s="22">
        <f t="shared" ref="Z33" si="62">IF(V33&gt;0,(V33*W33*X33)/1728,"")</f>
        <v>0.55555555555555558</v>
      </c>
      <c r="AA33" s="13">
        <v>14</v>
      </c>
      <c r="AB33" s="13">
        <v>7</v>
      </c>
      <c r="AC33" s="13">
        <v>98</v>
      </c>
      <c r="AD33" s="13">
        <f t="shared" ref="AD33" si="63">IF(AB33&gt;0,AB33*X33,"")</f>
        <v>28</v>
      </c>
      <c r="AE33" s="13">
        <f t="shared" ref="AE33" si="64">IF(Y33&gt;0,Y33*(AA33*AB33),"")</f>
        <v>1862</v>
      </c>
      <c r="AG33" s="28" t="s">
        <v>73</v>
      </c>
    </row>
    <row r="34" spans="1:33" x14ac:dyDescent="0.25">
      <c r="A34" s="10" t="e">
        <f>IF(#REF!=0,"Hide","Show")</f>
        <v>#REF!</v>
      </c>
      <c r="B34" s="32" t="s">
        <v>46</v>
      </c>
      <c r="C34" s="33" t="s">
        <v>173</v>
      </c>
      <c r="D34" s="34">
        <v>6</v>
      </c>
      <c r="E34" s="34">
        <v>750</v>
      </c>
      <c r="F34" s="34" t="s">
        <v>101</v>
      </c>
      <c r="G34" s="34" t="s">
        <v>143</v>
      </c>
      <c r="H34" s="35" t="s">
        <v>176</v>
      </c>
      <c r="I34" s="35" t="s">
        <v>147</v>
      </c>
      <c r="J34" s="13" t="s">
        <v>72</v>
      </c>
      <c r="K34" s="13" t="str">
        <f>VLOOKUP(B34,Sheet1!$A:$D,2,FALSE)</f>
        <v>Yes</v>
      </c>
      <c r="L34" s="13" t="str">
        <f>VLOOKUP(B34,Sheet1!$A:$D,3,FALSE)</f>
        <v>No</v>
      </c>
      <c r="M34" s="13" t="str">
        <f>VLOOKUP(B34,Sheet1!$A:$D,4,FALSE)</f>
        <v>No</v>
      </c>
      <c r="N34" s="9">
        <v>13.5</v>
      </c>
      <c r="O34" s="13" t="str">
        <f t="shared" si="40"/>
        <v>EAN</v>
      </c>
      <c r="P34" s="13" t="str">
        <f t="shared" si="41"/>
        <v/>
      </c>
      <c r="Q34" s="36" t="s">
        <v>162</v>
      </c>
      <c r="R34" s="36" t="s">
        <v>22</v>
      </c>
      <c r="S34" s="22">
        <v>3.23</v>
      </c>
      <c r="T34" s="22">
        <v>11.9</v>
      </c>
      <c r="U34" s="22">
        <v>3.8333299999999997</v>
      </c>
      <c r="V34" s="22">
        <v>12</v>
      </c>
      <c r="W34" s="22">
        <v>11</v>
      </c>
      <c r="X34" s="22">
        <v>7</v>
      </c>
      <c r="Y34" s="13">
        <v>23</v>
      </c>
      <c r="Z34" s="22">
        <f t="shared" si="42"/>
        <v>0.53472222222222221</v>
      </c>
      <c r="AA34" s="13">
        <v>12</v>
      </c>
      <c r="AB34" s="13">
        <v>7</v>
      </c>
      <c r="AC34" s="13">
        <v>84</v>
      </c>
      <c r="AD34" s="13">
        <f t="shared" si="43"/>
        <v>49</v>
      </c>
      <c r="AE34" s="13">
        <f t="shared" si="44"/>
        <v>1932</v>
      </c>
      <c r="AG34" s="28" t="s">
        <v>74</v>
      </c>
    </row>
    <row r="35" spans="1:33" x14ac:dyDescent="0.25">
      <c r="A35" s="10" t="e">
        <f>IF(#REF!=0,"Hide","Show")</f>
        <v>#REF!</v>
      </c>
      <c r="B35" s="32" t="s">
        <v>46</v>
      </c>
      <c r="C35" s="33" t="s">
        <v>173</v>
      </c>
      <c r="D35" s="34">
        <v>6</v>
      </c>
      <c r="E35" s="34">
        <v>750</v>
      </c>
      <c r="F35" s="34" t="s">
        <v>97</v>
      </c>
      <c r="G35" s="34" t="s">
        <v>143</v>
      </c>
      <c r="H35" s="35" t="s">
        <v>176</v>
      </c>
      <c r="I35" s="35" t="s">
        <v>147</v>
      </c>
      <c r="J35" s="13" t="s">
        <v>72</v>
      </c>
      <c r="K35" s="13" t="str">
        <f>VLOOKUP(B35,Sheet1!$A:$D,2,FALSE)</f>
        <v>Yes</v>
      </c>
      <c r="L35" s="13" t="str">
        <f>VLOOKUP(B35,Sheet1!$A:$D,3,FALSE)</f>
        <v>No</v>
      </c>
      <c r="M35" s="13" t="str">
        <f>VLOOKUP(B35,Sheet1!$A:$D,4,FALSE)</f>
        <v>No</v>
      </c>
      <c r="N35" s="9">
        <v>13.5</v>
      </c>
      <c r="O35" s="13" t="str">
        <f t="shared" ref="O35" si="65">IF(LEN(Q35)=12,"UPC",IF(LEN(Q35)&gt;12,"EAN",""))</f>
        <v>EAN</v>
      </c>
      <c r="P35" s="13" t="str">
        <f t="shared" ref="P35" si="66">IF(ISNUMBER(SEARCH("Gift",AG35)),"Gift Box","")</f>
        <v/>
      </c>
      <c r="Q35" s="36" t="s">
        <v>162</v>
      </c>
      <c r="R35" s="36" t="s">
        <v>22</v>
      </c>
      <c r="S35" s="22">
        <v>3.23</v>
      </c>
      <c r="T35" s="22">
        <v>11.9</v>
      </c>
      <c r="U35" s="22">
        <v>3.8333299999999997</v>
      </c>
      <c r="V35" s="22">
        <v>12</v>
      </c>
      <c r="W35" s="22">
        <v>11</v>
      </c>
      <c r="X35" s="22">
        <v>7</v>
      </c>
      <c r="Y35" s="13">
        <v>23</v>
      </c>
      <c r="Z35" s="22">
        <f t="shared" ref="Z35" si="67">IF(V35&gt;0,(V35*W35*X35)/1728,"")</f>
        <v>0.53472222222222221</v>
      </c>
      <c r="AA35" s="13">
        <v>12</v>
      </c>
      <c r="AB35" s="13">
        <v>7</v>
      </c>
      <c r="AC35" s="13">
        <v>84</v>
      </c>
      <c r="AD35" s="13">
        <f t="shared" ref="AD35" si="68">IF(AB35&gt;0,AB35*X35,"")</f>
        <v>49</v>
      </c>
      <c r="AE35" s="13">
        <f t="shared" ref="AE35" si="69">IF(Y35&gt;0,Y35*(AA35*AB35),"")</f>
        <v>1932</v>
      </c>
      <c r="AG35" s="28" t="s">
        <v>74</v>
      </c>
    </row>
    <row r="36" spans="1:33" x14ac:dyDescent="0.25">
      <c r="A36" s="10" t="e">
        <f>IF(#REF!=0,"Hide","Show")</f>
        <v>#REF!</v>
      </c>
      <c r="B36" s="32" t="s">
        <v>46</v>
      </c>
      <c r="C36" s="33" t="s">
        <v>174</v>
      </c>
      <c r="D36" s="34">
        <v>6</v>
      </c>
      <c r="E36" s="34">
        <v>750</v>
      </c>
      <c r="F36" s="34" t="s">
        <v>96</v>
      </c>
      <c r="G36" s="34" t="s">
        <v>143</v>
      </c>
      <c r="H36" s="35" t="s">
        <v>179</v>
      </c>
      <c r="I36" s="35" t="s">
        <v>147</v>
      </c>
      <c r="J36" s="13" t="s">
        <v>72</v>
      </c>
      <c r="K36" s="13" t="str">
        <f>VLOOKUP(B36,Sheet1!$A:$D,2,FALSE)</f>
        <v>Yes</v>
      </c>
      <c r="L36" s="13" t="str">
        <f>VLOOKUP(B36,Sheet1!$A:$D,3,FALSE)</f>
        <v>No</v>
      </c>
      <c r="M36" s="13" t="str">
        <f>VLOOKUP(B36,Sheet1!$A:$D,4,FALSE)</f>
        <v>No</v>
      </c>
      <c r="N36" s="9">
        <v>13.5</v>
      </c>
      <c r="O36" s="13" t="str">
        <f t="shared" si="40"/>
        <v>EAN</v>
      </c>
      <c r="P36" s="13" t="str">
        <f t="shared" si="41"/>
        <v/>
      </c>
      <c r="Q36" s="36" t="s">
        <v>163</v>
      </c>
      <c r="R36" s="36" t="s">
        <v>22</v>
      </c>
      <c r="S36" s="22">
        <v>3.23</v>
      </c>
      <c r="T36" s="22">
        <v>11.9</v>
      </c>
      <c r="U36" s="22">
        <v>3.8333299999999997</v>
      </c>
      <c r="V36" s="22">
        <v>12</v>
      </c>
      <c r="W36" s="22">
        <v>11</v>
      </c>
      <c r="X36" s="22">
        <v>7</v>
      </c>
      <c r="Y36" s="13">
        <v>23</v>
      </c>
      <c r="Z36" s="22">
        <f t="shared" si="42"/>
        <v>0.53472222222222221</v>
      </c>
      <c r="AA36" s="13">
        <v>12</v>
      </c>
      <c r="AB36" s="13">
        <v>7</v>
      </c>
      <c r="AC36" s="13">
        <v>84</v>
      </c>
      <c r="AD36" s="13">
        <f t="shared" si="43"/>
        <v>49</v>
      </c>
      <c r="AE36" s="13">
        <f t="shared" si="44"/>
        <v>1932</v>
      </c>
      <c r="AG36" s="28" t="s">
        <v>74</v>
      </c>
    </row>
    <row r="37" spans="1:33" x14ac:dyDescent="0.25">
      <c r="A37" s="10" t="e">
        <f>IF(#REF!=0,"Hide","Show")</f>
        <v>#REF!</v>
      </c>
      <c r="B37" s="32" t="s">
        <v>46</v>
      </c>
      <c r="C37" s="33" t="s">
        <v>175</v>
      </c>
      <c r="D37" s="34">
        <v>6</v>
      </c>
      <c r="E37" s="34">
        <v>750</v>
      </c>
      <c r="F37" s="34" t="s">
        <v>96</v>
      </c>
      <c r="G37" s="34" t="s">
        <v>143</v>
      </c>
      <c r="H37" s="35" t="s">
        <v>178</v>
      </c>
      <c r="I37" s="35" t="s">
        <v>147</v>
      </c>
      <c r="J37" s="13" t="s">
        <v>72</v>
      </c>
      <c r="K37" s="13" t="str">
        <f>VLOOKUP(B37,Sheet1!$A:$D,2,FALSE)</f>
        <v>Yes</v>
      </c>
      <c r="L37" s="13" t="str">
        <f>VLOOKUP(B37,Sheet1!$A:$D,3,FALSE)</f>
        <v>No</v>
      </c>
      <c r="M37" s="13" t="str">
        <f>VLOOKUP(B37,Sheet1!$A:$D,4,FALSE)</f>
        <v>No</v>
      </c>
      <c r="N37" s="9">
        <v>13.5</v>
      </c>
      <c r="O37" s="13" t="str">
        <f t="shared" si="40"/>
        <v>EAN</v>
      </c>
      <c r="P37" s="13" t="str">
        <f t="shared" si="41"/>
        <v/>
      </c>
      <c r="Q37" s="36" t="s">
        <v>164</v>
      </c>
      <c r="R37" s="36" t="s">
        <v>22</v>
      </c>
      <c r="S37" s="22">
        <v>3.23</v>
      </c>
      <c r="T37" s="22">
        <v>11.9</v>
      </c>
      <c r="U37" s="22">
        <v>3.1666700000000003</v>
      </c>
      <c r="V37" s="22">
        <v>20</v>
      </c>
      <c r="W37" s="22">
        <v>12</v>
      </c>
      <c r="X37" s="22">
        <v>4</v>
      </c>
      <c r="Y37" s="13">
        <v>19</v>
      </c>
      <c r="Z37" s="22">
        <f t="shared" si="42"/>
        <v>0.55555555555555558</v>
      </c>
      <c r="AA37" s="13">
        <v>14</v>
      </c>
      <c r="AB37" s="13">
        <v>7</v>
      </c>
      <c r="AC37" s="13">
        <v>98</v>
      </c>
      <c r="AD37" s="13">
        <f t="shared" si="43"/>
        <v>28</v>
      </c>
      <c r="AE37" s="13">
        <f t="shared" si="44"/>
        <v>1862</v>
      </c>
      <c r="AG37" s="28" t="s">
        <v>73</v>
      </c>
    </row>
    <row r="38" spans="1:33" ht="6" customHeight="1" x14ac:dyDescent="0.25">
      <c r="B38" s="15"/>
      <c r="C38" s="12"/>
      <c r="D38" s="12"/>
      <c r="E38" s="12"/>
      <c r="F38" s="19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4"/>
      <c r="T38" s="24"/>
      <c r="U38" s="24"/>
      <c r="V38" s="24"/>
      <c r="W38" s="24"/>
      <c r="X38" s="24"/>
      <c r="Y38" s="12"/>
      <c r="Z38" s="12"/>
      <c r="AA38" s="12"/>
      <c r="AB38" s="12"/>
      <c r="AC38" s="12"/>
      <c r="AD38" s="12"/>
      <c r="AE38" s="12"/>
      <c r="AG38" s="27"/>
    </row>
    <row r="39" spans="1:33" x14ac:dyDescent="0.25">
      <c r="B39" s="21" t="str">
        <f>"BEAUNE WHITE GRAND CRU"</f>
        <v>BEAUNE WHITE GRAND CRU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23"/>
      <c r="T39" s="23"/>
      <c r="U39" s="23"/>
      <c r="V39" s="23"/>
      <c r="W39" s="23"/>
      <c r="X39" s="23"/>
      <c r="Y39" s="11"/>
      <c r="Z39" s="11"/>
      <c r="AA39" s="11"/>
      <c r="AB39" s="11"/>
      <c r="AC39" s="11"/>
      <c r="AD39" s="11"/>
      <c r="AE39" s="11"/>
      <c r="AG39" s="28"/>
    </row>
    <row r="40" spans="1:33" x14ac:dyDescent="0.25">
      <c r="A40" s="10" t="e">
        <f>IF(#REF!=0,"Hide","Show")</f>
        <v>#REF!</v>
      </c>
      <c r="B40" s="32" t="str">
        <f>"Domaine Chanson"</f>
        <v>Domaine Chanson</v>
      </c>
      <c r="C40" s="33" t="str">
        <f>"Corton Vergennes Grand Cru"</f>
        <v>Corton Vergennes Grand Cru</v>
      </c>
      <c r="D40" s="34">
        <v>6</v>
      </c>
      <c r="E40" s="34">
        <v>750</v>
      </c>
      <c r="F40" s="34" t="str">
        <f>"2013"</f>
        <v>2013</v>
      </c>
      <c r="G40" s="34" t="str">
        <f>"White"</f>
        <v>White</v>
      </c>
      <c r="H40" s="35" t="str">
        <f>"CORTONVERG"</f>
        <v>CORTONVERG</v>
      </c>
      <c r="I40" s="35" t="str">
        <f>"CHARDONNAY"</f>
        <v>CHARDONNAY</v>
      </c>
      <c r="J40" s="13" t="s">
        <v>72</v>
      </c>
      <c r="K40" s="13" t="str">
        <f>VLOOKUP(B40,Sheet1!$A:$D,2,FALSE)</f>
        <v>Yes</v>
      </c>
      <c r="L40" s="13" t="str">
        <f>VLOOKUP(B40,Sheet1!$A:$D,3,FALSE)</f>
        <v>No</v>
      </c>
      <c r="M40" s="13" t="str">
        <f>VLOOKUP(B40,Sheet1!$A:$D,4,FALSE)</f>
        <v>No</v>
      </c>
      <c r="N40" s="9">
        <v>13.5</v>
      </c>
      <c r="O40" s="13" t="str">
        <f t="shared" ref="O40" si="70">IF(LEN(Q40)=12,"UPC",IF(LEN(Q40)&gt;12,"EAN",""))</f>
        <v>EAN</v>
      </c>
      <c r="P40" s="13" t="str">
        <f t="shared" ref="P40" si="71">IF(ISNUMBER(SEARCH("Gift",AG40)),"Gift Box","")</f>
        <v/>
      </c>
      <c r="Q40" s="36" t="str">
        <f>"3342835910107"</f>
        <v>3342835910107</v>
      </c>
      <c r="R40" s="36"/>
      <c r="S40" s="22">
        <v>3.23</v>
      </c>
      <c r="T40" s="22">
        <v>11.9</v>
      </c>
      <c r="U40" s="22">
        <v>3.8333299999999997</v>
      </c>
      <c r="V40" s="22">
        <v>12</v>
      </c>
      <c r="W40" s="22">
        <v>11</v>
      </c>
      <c r="X40" s="22">
        <v>7</v>
      </c>
      <c r="Y40" s="13">
        <v>23</v>
      </c>
      <c r="Z40" s="22">
        <f t="shared" ref="Z40" si="72">IF(V40&gt;0,(V40*W40*X40)/1728,"")</f>
        <v>0.53472222222222221</v>
      </c>
      <c r="AA40" s="13">
        <v>12</v>
      </c>
      <c r="AB40" s="13">
        <v>7</v>
      </c>
      <c r="AC40" s="13">
        <v>84</v>
      </c>
      <c r="AD40" s="13">
        <f t="shared" ref="AD40" si="73">IF(AB40&gt;0,AB40*X40,"")</f>
        <v>49</v>
      </c>
      <c r="AE40" s="13">
        <f t="shared" ref="AE40" si="74">IF(Y40&gt;0,Y40*(AA40*AB40),"")</f>
        <v>1932</v>
      </c>
      <c r="AG40" s="28" t="str">
        <f>"6x750ml W"</f>
        <v>6x750ml W</v>
      </c>
    </row>
    <row r="41" spans="1:33" x14ac:dyDescent="0.25">
      <c r="A41" s="10" t="e">
        <f>IF(#REF!=0,"Hide","Show")</f>
        <v>#REF!</v>
      </c>
      <c r="B41" s="32" t="str">
        <f>"Domaine Chanson"</f>
        <v>Domaine Chanson</v>
      </c>
      <c r="C41" s="33" t="str">
        <f>"Corton Vergennes Grand Cru"</f>
        <v>Corton Vergennes Grand Cru</v>
      </c>
      <c r="D41" s="34">
        <v>6</v>
      </c>
      <c r="E41" s="34">
        <v>750</v>
      </c>
      <c r="F41" s="34" t="str">
        <f>"2015"</f>
        <v>2015</v>
      </c>
      <c r="G41" s="34" t="str">
        <f>"White"</f>
        <v>White</v>
      </c>
      <c r="H41" s="35" t="str">
        <f>"CORTONVERG"</f>
        <v>CORTONVERG</v>
      </c>
      <c r="I41" s="35" t="str">
        <f>"CHARDONNAY"</f>
        <v>CHARDONNAY</v>
      </c>
      <c r="J41" s="13" t="s">
        <v>72</v>
      </c>
      <c r="K41" s="13" t="str">
        <f>VLOOKUP(B41,Sheet1!$A:$D,2,FALSE)</f>
        <v>Yes</v>
      </c>
      <c r="L41" s="13" t="str">
        <f>VLOOKUP(B41,Sheet1!$A:$D,3,FALSE)</f>
        <v>No</v>
      </c>
      <c r="M41" s="13" t="str">
        <f>VLOOKUP(B41,Sheet1!$A:$D,4,FALSE)</f>
        <v>No</v>
      </c>
      <c r="N41" s="9">
        <v>14.5</v>
      </c>
      <c r="O41" s="13" t="str">
        <f t="shared" ref="O41:O42" si="75">IF(LEN(Q41)=12,"UPC",IF(LEN(Q41)&gt;12,"EAN",""))</f>
        <v>EAN</v>
      </c>
      <c r="P41" s="13" t="str">
        <f t="shared" ref="P41:P42" si="76">IF(ISNUMBER(SEARCH("Gift",AG41)),"Gift Box","")</f>
        <v/>
      </c>
      <c r="Q41" s="36" t="str">
        <f>"3342835910107"</f>
        <v>3342835910107</v>
      </c>
      <c r="R41" s="36"/>
      <c r="S41" s="22">
        <v>3.23</v>
      </c>
      <c r="T41" s="22">
        <v>11.9</v>
      </c>
      <c r="U41" s="22">
        <v>3.8333299999999997</v>
      </c>
      <c r="V41" s="22">
        <v>12</v>
      </c>
      <c r="W41" s="22">
        <v>11</v>
      </c>
      <c r="X41" s="22">
        <v>7</v>
      </c>
      <c r="Y41" s="13">
        <v>23</v>
      </c>
      <c r="Z41" s="22">
        <f t="shared" ref="Z41:Z42" si="77">IF(V41&gt;0,(V41*W41*X41)/1728,"")</f>
        <v>0.53472222222222221</v>
      </c>
      <c r="AA41" s="13">
        <v>12</v>
      </c>
      <c r="AB41" s="13">
        <v>7</v>
      </c>
      <c r="AC41" s="13">
        <v>84</v>
      </c>
      <c r="AD41" s="13">
        <f t="shared" ref="AD41:AD42" si="78">IF(AB41&gt;0,AB41*X41,"")</f>
        <v>49</v>
      </c>
      <c r="AE41" s="13">
        <f t="shared" ref="AE41:AE42" si="79">IF(Y41&gt;0,Y41*(AA41*AB41),"")</f>
        <v>1932</v>
      </c>
      <c r="AG41" s="28" t="str">
        <f>"6x750ml W"</f>
        <v>6x750ml W</v>
      </c>
    </row>
    <row r="42" spans="1:33" x14ac:dyDescent="0.25">
      <c r="A42" s="10" t="e">
        <f>IF(#REF!=0,"Hide","Show")</f>
        <v>#REF!</v>
      </c>
      <c r="B42" s="32" t="str">
        <f>"Domaine Chanson"</f>
        <v>Domaine Chanson</v>
      </c>
      <c r="C42" s="33" t="str">
        <f>"Corton Vergennes Grand Cru"</f>
        <v>Corton Vergennes Grand Cru</v>
      </c>
      <c r="D42" s="34">
        <v>6</v>
      </c>
      <c r="E42" s="34">
        <v>750</v>
      </c>
      <c r="F42" s="34" t="str">
        <f>"2016"</f>
        <v>2016</v>
      </c>
      <c r="G42" s="34" t="str">
        <f>"White"</f>
        <v>White</v>
      </c>
      <c r="H42" s="35" t="str">
        <f>"CORTONVERG"</f>
        <v>CORTONVERG</v>
      </c>
      <c r="I42" s="35" t="str">
        <f>"CHARDONNAY"</f>
        <v>CHARDONNAY</v>
      </c>
      <c r="J42" s="13" t="s">
        <v>72</v>
      </c>
      <c r="K42" s="13" t="str">
        <f>VLOOKUP(B42,Sheet1!$A:$D,2,FALSE)</f>
        <v>Yes</v>
      </c>
      <c r="L42" s="13" t="str">
        <f>VLOOKUP(B42,Sheet1!$A:$D,3,FALSE)</f>
        <v>No</v>
      </c>
      <c r="M42" s="13" t="str">
        <f>VLOOKUP(B42,Sheet1!$A:$D,4,FALSE)</f>
        <v>No</v>
      </c>
      <c r="N42" s="9">
        <v>14</v>
      </c>
      <c r="O42" s="13" t="str">
        <f t="shared" si="75"/>
        <v>EAN</v>
      </c>
      <c r="P42" s="13" t="str">
        <f t="shared" si="76"/>
        <v/>
      </c>
      <c r="Q42" s="36" t="str">
        <f>"3342835910107"</f>
        <v>3342835910107</v>
      </c>
      <c r="R42" s="36"/>
      <c r="S42" s="22">
        <v>3.23</v>
      </c>
      <c r="T42" s="22">
        <v>11.9</v>
      </c>
      <c r="U42" s="22">
        <v>3.8333299999999997</v>
      </c>
      <c r="V42" s="22">
        <v>12</v>
      </c>
      <c r="W42" s="22">
        <v>11</v>
      </c>
      <c r="X42" s="22">
        <v>7</v>
      </c>
      <c r="Y42" s="13">
        <v>23</v>
      </c>
      <c r="Z42" s="22">
        <f t="shared" si="77"/>
        <v>0.53472222222222221</v>
      </c>
      <c r="AA42" s="13">
        <v>12</v>
      </c>
      <c r="AB42" s="13">
        <v>7</v>
      </c>
      <c r="AC42" s="13">
        <v>84</v>
      </c>
      <c r="AD42" s="13">
        <f t="shared" si="78"/>
        <v>49</v>
      </c>
      <c r="AE42" s="13">
        <f t="shared" si="79"/>
        <v>1932</v>
      </c>
      <c r="AG42" s="28" t="str">
        <f>"6x750ml W"</f>
        <v>6x750ml W</v>
      </c>
    </row>
    <row r="43" spans="1:33" x14ac:dyDescent="0.25">
      <c r="A43" s="10" t="e">
        <f>IF(#REF!=0,"Hide","Show")</f>
        <v>#REF!</v>
      </c>
      <c r="B43" s="32" t="s">
        <v>46</v>
      </c>
      <c r="C43" s="33" t="s">
        <v>150</v>
      </c>
      <c r="D43" s="34">
        <v>6</v>
      </c>
      <c r="E43" s="34">
        <v>750</v>
      </c>
      <c r="F43" s="34" t="s">
        <v>97</v>
      </c>
      <c r="G43" s="34" t="s">
        <v>143</v>
      </c>
      <c r="H43" s="35" t="s">
        <v>152</v>
      </c>
      <c r="I43" s="35" t="s">
        <v>147</v>
      </c>
      <c r="J43" s="13" t="s">
        <v>72</v>
      </c>
      <c r="K43" s="13" t="str">
        <f>VLOOKUP(B43,Sheet1!$A:$D,2,FALSE)</f>
        <v>Yes</v>
      </c>
      <c r="L43" s="13" t="str">
        <f>VLOOKUP(B43,Sheet1!$A:$D,3,FALSE)</f>
        <v>No</v>
      </c>
      <c r="M43" s="13" t="str">
        <f>VLOOKUP(B43,Sheet1!$A:$D,4,FALSE)</f>
        <v>No</v>
      </c>
      <c r="N43" s="9">
        <v>13.5</v>
      </c>
      <c r="O43" s="13" t="str">
        <f t="shared" ref="O43:O44" si="80">IF(LEN(Q43)=12,"UPC",IF(LEN(Q43)&gt;12,"EAN",""))</f>
        <v>EAN</v>
      </c>
      <c r="P43" s="13" t="str">
        <f t="shared" ref="P43:P44" si="81">IF(ISNUMBER(SEARCH("Gift",AG43)),"Gift Box","")</f>
        <v/>
      </c>
      <c r="Q43" s="36" t="s">
        <v>148</v>
      </c>
      <c r="R43" s="36" t="s">
        <v>22</v>
      </c>
      <c r="S43" s="22">
        <v>3.23</v>
      </c>
      <c r="T43" s="22">
        <v>11.9</v>
      </c>
      <c r="U43" s="22">
        <v>3.8333299999999997</v>
      </c>
      <c r="V43" s="22">
        <v>12</v>
      </c>
      <c r="W43" s="22">
        <v>11</v>
      </c>
      <c r="X43" s="22">
        <v>7</v>
      </c>
      <c r="Y43" s="13">
        <v>23</v>
      </c>
      <c r="Z43" s="22">
        <f t="shared" ref="Z43:Z44" si="82">IF(V43&gt;0,(V43*W43*X43)/1728,"")</f>
        <v>0.53472222222222221</v>
      </c>
      <c r="AA43" s="13">
        <v>12</v>
      </c>
      <c r="AB43" s="13">
        <v>7</v>
      </c>
      <c r="AC43" s="13">
        <v>84</v>
      </c>
      <c r="AD43" s="13">
        <f t="shared" ref="AD43:AD44" si="83">IF(AB43&gt;0,AB43*X43,"")</f>
        <v>49</v>
      </c>
      <c r="AE43" s="13">
        <f t="shared" ref="AE43:AE44" si="84">IF(Y43&gt;0,Y43*(AA43*AB43),"")</f>
        <v>1932</v>
      </c>
      <c r="AG43" s="28" t="s">
        <v>74</v>
      </c>
    </row>
    <row r="44" spans="1:33" x14ac:dyDescent="0.25">
      <c r="A44" s="10" t="e">
        <f>IF(#REF!=0,"Hide","Show")</f>
        <v>#REF!</v>
      </c>
      <c r="B44" s="32" t="s">
        <v>46</v>
      </c>
      <c r="C44" s="33" t="s">
        <v>151</v>
      </c>
      <c r="D44" s="34">
        <v>6</v>
      </c>
      <c r="E44" s="34">
        <v>750</v>
      </c>
      <c r="F44" s="34" t="s">
        <v>97</v>
      </c>
      <c r="G44" s="34" t="s">
        <v>143</v>
      </c>
      <c r="H44" s="35" t="s">
        <v>153</v>
      </c>
      <c r="I44" s="35" t="s">
        <v>147</v>
      </c>
      <c r="J44" s="13" t="s">
        <v>72</v>
      </c>
      <c r="K44" s="13" t="str">
        <f>VLOOKUP(B44,Sheet1!$A:$D,2,FALSE)</f>
        <v>Yes</v>
      </c>
      <c r="L44" s="13" t="str">
        <f>VLOOKUP(B44,Sheet1!$A:$D,3,FALSE)</f>
        <v>No</v>
      </c>
      <c r="M44" s="13" t="str">
        <f>VLOOKUP(B44,Sheet1!$A:$D,4,FALSE)</f>
        <v>No</v>
      </c>
      <c r="N44" s="9">
        <v>13.5</v>
      </c>
      <c r="O44" s="13" t="str">
        <f t="shared" si="80"/>
        <v>EAN</v>
      </c>
      <c r="P44" s="13" t="str">
        <f t="shared" si="81"/>
        <v/>
      </c>
      <c r="Q44" s="36" t="s">
        <v>149</v>
      </c>
      <c r="R44" s="36" t="s">
        <v>22</v>
      </c>
      <c r="S44" s="22">
        <v>3.23</v>
      </c>
      <c r="T44" s="22">
        <v>11.9</v>
      </c>
      <c r="U44" s="22">
        <v>3.8333299999999997</v>
      </c>
      <c r="V44" s="22">
        <v>12</v>
      </c>
      <c r="W44" s="22">
        <v>11</v>
      </c>
      <c r="X44" s="22">
        <v>7</v>
      </c>
      <c r="Y44" s="13">
        <v>23</v>
      </c>
      <c r="Z44" s="22">
        <f t="shared" si="82"/>
        <v>0.53472222222222221</v>
      </c>
      <c r="AA44" s="13">
        <v>12</v>
      </c>
      <c r="AB44" s="13">
        <v>7</v>
      </c>
      <c r="AC44" s="13">
        <v>84</v>
      </c>
      <c r="AD44" s="13">
        <f t="shared" si="83"/>
        <v>49</v>
      </c>
      <c r="AE44" s="13">
        <f t="shared" si="84"/>
        <v>1932</v>
      </c>
      <c r="AG44" s="28" t="s">
        <v>74</v>
      </c>
    </row>
    <row r="45" spans="1:33" ht="6" customHeight="1" x14ac:dyDescent="0.25">
      <c r="B45" s="15"/>
      <c r="C45" s="12"/>
      <c r="D45" s="12"/>
      <c r="E45" s="12"/>
      <c r="F45" s="19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4"/>
      <c r="T45" s="24"/>
      <c r="U45" s="24"/>
      <c r="V45" s="24"/>
      <c r="W45" s="24"/>
      <c r="X45" s="24"/>
      <c r="Y45" s="12"/>
      <c r="Z45" s="12"/>
      <c r="AA45" s="12"/>
      <c r="AB45" s="12"/>
      <c r="AC45" s="12"/>
      <c r="AD45" s="12"/>
      <c r="AE45" s="12"/>
      <c r="AG45" s="27"/>
    </row>
    <row r="46" spans="1:33" x14ac:dyDescent="0.25">
      <c r="B46" s="21" t="str">
        <f>"CHABLIS"</f>
        <v>CHABLIS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23"/>
      <c r="T46" s="23"/>
      <c r="U46" s="23"/>
      <c r="V46" s="23"/>
      <c r="W46" s="23"/>
      <c r="X46" s="23"/>
      <c r="Y46" s="11"/>
      <c r="Z46" s="11"/>
      <c r="AA46" s="11"/>
      <c r="AB46" s="11"/>
      <c r="AC46" s="11"/>
      <c r="AD46" s="11"/>
      <c r="AE46" s="11"/>
      <c r="AG46" s="28"/>
    </row>
    <row r="47" spans="1:33" x14ac:dyDescent="0.25">
      <c r="A47" s="10" t="e">
        <f>IF(#REF!=0,"Hide","Show")</f>
        <v>#REF!</v>
      </c>
      <c r="B47" s="32" t="str">
        <f>"Domaine Chanson"</f>
        <v>Domaine Chanson</v>
      </c>
      <c r="C47" s="33" t="str">
        <f>"Chablis"</f>
        <v>Chablis</v>
      </c>
      <c r="D47" s="34">
        <v>12</v>
      </c>
      <c r="E47" s="34">
        <v>750</v>
      </c>
      <c r="F47" s="34" t="str">
        <f>"2013"</f>
        <v>2013</v>
      </c>
      <c r="G47" s="34" t="str">
        <f>"White"</f>
        <v>White</v>
      </c>
      <c r="H47" s="35" t="str">
        <f>"CHABLIS 1ER"</f>
        <v>CHABLIS 1ER</v>
      </c>
      <c r="I47" s="35" t="str">
        <f>"CHARDONNAY"</f>
        <v>CHARDONNAY</v>
      </c>
      <c r="J47" s="13" t="s">
        <v>72</v>
      </c>
      <c r="K47" s="13" t="str">
        <f>VLOOKUP(B47,Sheet1!$A:$D,2,FALSE)</f>
        <v>Yes</v>
      </c>
      <c r="L47" s="13" t="str">
        <f>VLOOKUP(B47,Sheet1!$A:$D,3,FALSE)</f>
        <v>No</v>
      </c>
      <c r="M47" s="13" t="str">
        <f>VLOOKUP(B47,Sheet1!$A:$D,4,FALSE)</f>
        <v>No</v>
      </c>
      <c r="N47" s="9">
        <v>12.5</v>
      </c>
      <c r="O47" s="13" t="str">
        <f t="shared" ref="O47" si="85">IF(LEN(Q47)=12,"UPC",IF(LEN(Q47)&gt;12,"EAN",""))</f>
        <v>UPC</v>
      </c>
      <c r="P47" s="13" t="str">
        <f t="shared" ref="P47" si="86">IF(ISNUMBER(SEARCH("Gift",AG47)),"Gift Box","")</f>
        <v/>
      </c>
      <c r="Q47" s="36" t="str">
        <f>"864576000143"</f>
        <v>864576000143</v>
      </c>
      <c r="R47" s="36" t="str">
        <f>"10864576000140"</f>
        <v>10864576000140</v>
      </c>
      <c r="S47" s="22">
        <v>3.23</v>
      </c>
      <c r="T47" s="22">
        <v>11.9</v>
      </c>
      <c r="U47" s="22">
        <v>3.0833299999999997</v>
      </c>
      <c r="V47" s="22">
        <v>20</v>
      </c>
      <c r="W47" s="22">
        <v>12</v>
      </c>
      <c r="X47" s="22">
        <v>7</v>
      </c>
      <c r="Y47" s="13">
        <v>37</v>
      </c>
      <c r="Z47" s="22">
        <f t="shared" ref="Z47" si="87">IF(V47&gt;0,(V47*W47*X47)/1728,"")</f>
        <v>0.97222222222222221</v>
      </c>
      <c r="AA47" s="13">
        <v>7</v>
      </c>
      <c r="AB47" s="13">
        <v>7</v>
      </c>
      <c r="AC47" s="13">
        <v>49</v>
      </c>
      <c r="AD47" s="13">
        <f t="shared" ref="AD47" si="88">IF(AB47&gt;0,AB47*X47,"")</f>
        <v>49</v>
      </c>
      <c r="AE47" s="13">
        <f t="shared" ref="AE47" si="89">IF(Y47&gt;0,Y47*(AA47*AB47),"")</f>
        <v>1813</v>
      </c>
      <c r="AG47" s="28" t="str">
        <f>"12x750ml C"</f>
        <v>12x750ml C</v>
      </c>
    </row>
    <row r="48" spans="1:33" x14ac:dyDescent="0.25">
      <c r="A48" s="10" t="e">
        <f>IF(#REF!=0,"Hide","Show")</f>
        <v>#REF!</v>
      </c>
      <c r="B48" s="32" t="str">
        <f>"Domaine Chanson"</f>
        <v>Domaine Chanson</v>
      </c>
      <c r="C48" s="33" t="str">
        <f>"Chablis"</f>
        <v>Chablis</v>
      </c>
      <c r="D48" s="34">
        <v>12</v>
      </c>
      <c r="E48" s="34">
        <v>750</v>
      </c>
      <c r="F48" s="34" t="str">
        <f>"2016"</f>
        <v>2016</v>
      </c>
      <c r="G48" s="34" t="str">
        <f>"White"</f>
        <v>White</v>
      </c>
      <c r="H48" s="35" t="str">
        <f>"CHABLIS 1ER"</f>
        <v>CHABLIS 1ER</v>
      </c>
      <c r="I48" s="35" t="str">
        <f>"CHARDONNAY"</f>
        <v>CHARDONNAY</v>
      </c>
      <c r="J48" s="13" t="s">
        <v>72</v>
      </c>
      <c r="K48" s="13" t="str">
        <f>VLOOKUP(B48,Sheet1!$A:$D,2,FALSE)</f>
        <v>Yes</v>
      </c>
      <c r="L48" s="13" t="str">
        <f>VLOOKUP(B48,Sheet1!$A:$D,3,FALSE)</f>
        <v>No</v>
      </c>
      <c r="M48" s="13" t="str">
        <f>VLOOKUP(B48,Sheet1!$A:$D,4,FALSE)</f>
        <v>No</v>
      </c>
      <c r="N48" s="9">
        <v>12.5</v>
      </c>
      <c r="O48" s="13" t="str">
        <f t="shared" ref="O48:O49" si="90">IF(LEN(Q48)=12,"UPC",IF(LEN(Q48)&gt;12,"EAN",""))</f>
        <v>UPC</v>
      </c>
      <c r="P48" s="13" t="str">
        <f t="shared" ref="P48:P49" si="91">IF(ISNUMBER(SEARCH("Gift",AG48)),"Gift Box","")</f>
        <v/>
      </c>
      <c r="Q48" s="36" t="str">
        <f>"864576000143"</f>
        <v>864576000143</v>
      </c>
      <c r="R48" s="36" t="str">
        <f>"10864576000140"</f>
        <v>10864576000140</v>
      </c>
      <c r="S48" s="22">
        <v>3.23</v>
      </c>
      <c r="T48" s="22">
        <v>11.9</v>
      </c>
      <c r="U48" s="22">
        <v>3.0833299999999997</v>
      </c>
      <c r="V48" s="22">
        <v>20</v>
      </c>
      <c r="W48" s="22">
        <v>12</v>
      </c>
      <c r="X48" s="22">
        <v>7</v>
      </c>
      <c r="Y48" s="13">
        <v>37</v>
      </c>
      <c r="Z48" s="22">
        <f t="shared" ref="Z48:Z49" si="92">IF(V48&gt;0,(V48*W48*X48)/1728,"")</f>
        <v>0.97222222222222221</v>
      </c>
      <c r="AA48" s="13">
        <v>7</v>
      </c>
      <c r="AB48" s="13">
        <v>7</v>
      </c>
      <c r="AC48" s="13">
        <v>49</v>
      </c>
      <c r="AD48" s="13">
        <f t="shared" ref="AD48:AD49" si="93">IF(AB48&gt;0,AB48*X48,"")</f>
        <v>49</v>
      </c>
      <c r="AE48" s="13">
        <f t="shared" ref="AE48:AE49" si="94">IF(Y48&gt;0,Y48*(AA48*AB48),"")</f>
        <v>1813</v>
      </c>
      <c r="AG48" s="28" t="str">
        <f>"12x750ml C"</f>
        <v>12x750ml C</v>
      </c>
    </row>
    <row r="49" spans="1:33" x14ac:dyDescent="0.25">
      <c r="A49" s="10" t="e">
        <f>IF(#REF!=0,"Hide","Show")</f>
        <v>#REF!</v>
      </c>
      <c r="B49" s="32" t="str">
        <f>"Domaine Chanson"</f>
        <v>Domaine Chanson</v>
      </c>
      <c r="C49" s="33" t="str">
        <f>"Chablis"</f>
        <v>Chablis</v>
      </c>
      <c r="D49" s="34">
        <v>12</v>
      </c>
      <c r="E49" s="34">
        <v>750</v>
      </c>
      <c r="F49" s="34" t="str">
        <f>"2017"</f>
        <v>2017</v>
      </c>
      <c r="G49" s="34" t="str">
        <f>"White"</f>
        <v>White</v>
      </c>
      <c r="H49" s="35" t="str">
        <f>"CHABLIS 1ER"</f>
        <v>CHABLIS 1ER</v>
      </c>
      <c r="I49" s="35" t="str">
        <f>"CHARDONNAY"</f>
        <v>CHARDONNAY</v>
      </c>
      <c r="J49" s="13" t="s">
        <v>72</v>
      </c>
      <c r="K49" s="13" t="str">
        <f>VLOOKUP(B49,Sheet1!$A:$D,2,FALSE)</f>
        <v>Yes</v>
      </c>
      <c r="L49" s="13" t="str">
        <f>VLOOKUP(B49,Sheet1!$A:$D,3,FALSE)</f>
        <v>No</v>
      </c>
      <c r="M49" s="13" t="str">
        <f>VLOOKUP(B49,Sheet1!$A:$D,4,FALSE)</f>
        <v>No</v>
      </c>
      <c r="N49" s="9">
        <v>12.5</v>
      </c>
      <c r="O49" s="13" t="str">
        <f t="shared" si="90"/>
        <v>UPC</v>
      </c>
      <c r="P49" s="13" t="str">
        <f t="shared" si="91"/>
        <v/>
      </c>
      <c r="Q49" s="36" t="str">
        <f>"864576000143"</f>
        <v>864576000143</v>
      </c>
      <c r="R49" s="36" t="str">
        <f>"10864576000140"</f>
        <v>10864576000140</v>
      </c>
      <c r="S49" s="22">
        <v>3.23</v>
      </c>
      <c r="T49" s="22">
        <v>11.9</v>
      </c>
      <c r="U49" s="22">
        <v>3.0833299999999997</v>
      </c>
      <c r="V49" s="22">
        <v>20</v>
      </c>
      <c r="W49" s="22">
        <v>12</v>
      </c>
      <c r="X49" s="22">
        <v>7</v>
      </c>
      <c r="Y49" s="13">
        <v>37</v>
      </c>
      <c r="Z49" s="22">
        <f t="shared" si="92"/>
        <v>0.97222222222222221</v>
      </c>
      <c r="AA49" s="13">
        <v>7</v>
      </c>
      <c r="AB49" s="13">
        <v>7</v>
      </c>
      <c r="AC49" s="13">
        <v>49</v>
      </c>
      <c r="AD49" s="13">
        <f t="shared" si="93"/>
        <v>49</v>
      </c>
      <c r="AE49" s="13">
        <f t="shared" si="94"/>
        <v>1813</v>
      </c>
      <c r="AG49" s="28" t="str">
        <f>"12x750ml C"</f>
        <v>12x750ml C</v>
      </c>
    </row>
    <row r="50" spans="1:33" x14ac:dyDescent="0.25">
      <c r="A50" s="10" t="e">
        <f>IF(#REF!=0,"Hide","Show")</f>
        <v>#REF!</v>
      </c>
      <c r="B50" s="32" t="s">
        <v>46</v>
      </c>
      <c r="C50" s="33" t="s">
        <v>134</v>
      </c>
      <c r="D50" s="34">
        <v>6</v>
      </c>
      <c r="E50" s="34">
        <v>750</v>
      </c>
      <c r="F50" s="34" t="s">
        <v>97</v>
      </c>
      <c r="G50" s="34" t="s">
        <v>143</v>
      </c>
      <c r="H50" s="35" t="s">
        <v>144</v>
      </c>
      <c r="I50" s="35" t="s">
        <v>147</v>
      </c>
      <c r="J50" s="13" t="s">
        <v>72</v>
      </c>
      <c r="K50" s="13" t="str">
        <f>VLOOKUP(B50,Sheet1!$A:$D,2,FALSE)</f>
        <v>Yes</v>
      </c>
      <c r="L50" s="13" t="str">
        <f>VLOOKUP(B50,Sheet1!$A:$D,3,FALSE)</f>
        <v>No</v>
      </c>
      <c r="M50" s="13" t="str">
        <f>VLOOKUP(B50,Sheet1!$A:$D,4,FALSE)</f>
        <v>No</v>
      </c>
      <c r="N50" s="9">
        <v>13</v>
      </c>
      <c r="O50" s="13" t="str">
        <f t="shared" ref="O50:O54" si="95">IF(LEN(Q50)=12,"UPC",IF(LEN(Q50)&gt;12,"EAN",""))</f>
        <v/>
      </c>
      <c r="P50" s="13" t="str">
        <f t="shared" ref="P50:P54" si="96">IF(ISNUMBER(SEARCH("Gift",AG50)),"Gift Box","")</f>
        <v/>
      </c>
      <c r="Q50" s="36" t="s">
        <v>22</v>
      </c>
      <c r="R50" s="36" t="s">
        <v>22</v>
      </c>
      <c r="S50" s="22">
        <v>3.23</v>
      </c>
      <c r="T50" s="22">
        <v>11.9</v>
      </c>
      <c r="U50" s="22">
        <v>3.8333299999999997</v>
      </c>
      <c r="V50" s="22">
        <v>12</v>
      </c>
      <c r="W50" s="22">
        <v>11</v>
      </c>
      <c r="X50" s="22">
        <v>7</v>
      </c>
      <c r="Y50" s="13">
        <v>23</v>
      </c>
      <c r="Z50" s="22">
        <f t="shared" ref="Z50:Z54" si="97">IF(V50&gt;0,(V50*W50*X50)/1728,"")</f>
        <v>0.53472222222222221</v>
      </c>
      <c r="AA50" s="13">
        <v>12</v>
      </c>
      <c r="AB50" s="13">
        <v>7</v>
      </c>
      <c r="AC50" s="13">
        <v>84</v>
      </c>
      <c r="AD50" s="13">
        <f t="shared" ref="AD50:AD54" si="98">IF(AB50&gt;0,AB50*X50,"")</f>
        <v>49</v>
      </c>
      <c r="AE50" s="13">
        <f t="shared" ref="AE50:AE54" si="99">IF(Y50&gt;0,Y50*(AA50*AB50),"")</f>
        <v>1932</v>
      </c>
      <c r="AG50" s="28" t="s">
        <v>74</v>
      </c>
    </row>
    <row r="51" spans="1:33" x14ac:dyDescent="0.25">
      <c r="A51" s="10" t="e">
        <f>IF(#REF!=0,"Hide","Show")</f>
        <v>#REF!</v>
      </c>
      <c r="B51" s="32" t="s">
        <v>46</v>
      </c>
      <c r="C51" s="33" t="s">
        <v>135</v>
      </c>
      <c r="D51" s="34">
        <v>6</v>
      </c>
      <c r="E51" s="34">
        <v>750</v>
      </c>
      <c r="F51" s="34" t="s">
        <v>99</v>
      </c>
      <c r="G51" s="34" t="s">
        <v>143</v>
      </c>
      <c r="H51" s="35" t="s">
        <v>144</v>
      </c>
      <c r="I51" s="35" t="s">
        <v>147</v>
      </c>
      <c r="J51" s="13" t="s">
        <v>72</v>
      </c>
      <c r="K51" s="13" t="str">
        <f>VLOOKUP(B51,Sheet1!$A:$D,2,FALSE)</f>
        <v>Yes</v>
      </c>
      <c r="L51" s="13" t="str">
        <f>VLOOKUP(B51,Sheet1!$A:$D,3,FALSE)</f>
        <v>No</v>
      </c>
      <c r="M51" s="13" t="str">
        <f>VLOOKUP(B51,Sheet1!$A:$D,4,FALSE)</f>
        <v>No</v>
      </c>
      <c r="N51" s="9">
        <v>13</v>
      </c>
      <c r="O51" s="13" t="str">
        <f t="shared" si="95"/>
        <v>UPC</v>
      </c>
      <c r="P51" s="13" t="str">
        <f t="shared" si="96"/>
        <v/>
      </c>
      <c r="Q51" s="36" t="s">
        <v>121</v>
      </c>
      <c r="R51" s="36" t="s">
        <v>22</v>
      </c>
      <c r="S51" s="22">
        <v>3.23</v>
      </c>
      <c r="T51" s="22">
        <v>11.9</v>
      </c>
      <c r="U51" s="22">
        <v>3.8333299999999997</v>
      </c>
      <c r="V51" s="22">
        <v>12</v>
      </c>
      <c r="W51" s="22">
        <v>11</v>
      </c>
      <c r="X51" s="22">
        <v>7</v>
      </c>
      <c r="Y51" s="13">
        <v>23</v>
      </c>
      <c r="Z51" s="22">
        <f t="shared" si="97"/>
        <v>0.53472222222222221</v>
      </c>
      <c r="AA51" s="13">
        <v>12</v>
      </c>
      <c r="AB51" s="13">
        <v>7</v>
      </c>
      <c r="AC51" s="13">
        <v>84</v>
      </c>
      <c r="AD51" s="13">
        <f t="shared" si="98"/>
        <v>49</v>
      </c>
      <c r="AE51" s="13">
        <f t="shared" si="99"/>
        <v>1932</v>
      </c>
      <c r="AG51" s="28" t="s">
        <v>74</v>
      </c>
    </row>
    <row r="52" spans="1:33" x14ac:dyDescent="0.25">
      <c r="A52" s="10" t="e">
        <f>IF(#REF!=0,"Hide","Show")</f>
        <v>#REF!</v>
      </c>
      <c r="B52" s="32" t="s">
        <v>46</v>
      </c>
      <c r="C52" s="33" t="s">
        <v>135</v>
      </c>
      <c r="D52" s="34">
        <v>6</v>
      </c>
      <c r="E52" s="34">
        <v>750</v>
      </c>
      <c r="F52" s="34" t="s">
        <v>96</v>
      </c>
      <c r="G52" s="34" t="s">
        <v>143</v>
      </c>
      <c r="H52" s="35" t="s">
        <v>144</v>
      </c>
      <c r="I52" s="35" t="s">
        <v>147</v>
      </c>
      <c r="J52" s="13" t="s">
        <v>72</v>
      </c>
      <c r="K52" s="13" t="str">
        <f>VLOOKUP(B52,Sheet1!$A:$D,2,FALSE)</f>
        <v>Yes</v>
      </c>
      <c r="L52" s="13" t="str">
        <f>VLOOKUP(B52,Sheet1!$A:$D,3,FALSE)</f>
        <v>No</v>
      </c>
      <c r="M52" s="13" t="str">
        <f>VLOOKUP(B52,Sheet1!$A:$D,4,FALSE)</f>
        <v>No</v>
      </c>
      <c r="N52" s="9">
        <v>13</v>
      </c>
      <c r="O52" s="13" t="str">
        <f t="shared" ref="O52" si="100">IF(LEN(Q52)=12,"UPC",IF(LEN(Q52)&gt;12,"EAN",""))</f>
        <v>EAN</v>
      </c>
      <c r="P52" s="13" t="str">
        <f t="shared" ref="P52" si="101">IF(ISNUMBER(SEARCH("Gift",AG52)),"Gift Box","")</f>
        <v/>
      </c>
      <c r="Q52" s="36" t="s">
        <v>122</v>
      </c>
      <c r="R52" s="36" t="s">
        <v>22</v>
      </c>
      <c r="S52" s="22">
        <v>3.23</v>
      </c>
      <c r="T52" s="22">
        <v>11.9</v>
      </c>
      <c r="U52" s="22">
        <v>3.8333299999999997</v>
      </c>
      <c r="V52" s="22">
        <v>12</v>
      </c>
      <c r="W52" s="22">
        <v>11</v>
      </c>
      <c r="X52" s="22">
        <v>7</v>
      </c>
      <c r="Y52" s="13">
        <v>23</v>
      </c>
      <c r="Z52" s="22">
        <f t="shared" ref="Z52" si="102">IF(V52&gt;0,(V52*W52*X52)/1728,"")</f>
        <v>0.53472222222222221</v>
      </c>
      <c r="AA52" s="13">
        <v>12</v>
      </c>
      <c r="AB52" s="13">
        <v>7</v>
      </c>
      <c r="AC52" s="13">
        <v>84</v>
      </c>
      <c r="AD52" s="13">
        <f t="shared" ref="AD52" si="103">IF(AB52&gt;0,AB52*X52,"")</f>
        <v>49</v>
      </c>
      <c r="AE52" s="13">
        <f t="shared" ref="AE52" si="104">IF(Y52&gt;0,Y52*(AA52*AB52),"")</f>
        <v>1932</v>
      </c>
      <c r="AG52" s="28" t="s">
        <v>74</v>
      </c>
    </row>
    <row r="53" spans="1:33" x14ac:dyDescent="0.25">
      <c r="A53" s="10" t="e">
        <f>IF(#REF!=0,"Hide","Show")</f>
        <v>#REF!</v>
      </c>
      <c r="B53" s="32" t="s">
        <v>46</v>
      </c>
      <c r="C53" s="33" t="s">
        <v>136</v>
      </c>
      <c r="D53" s="34">
        <v>6</v>
      </c>
      <c r="E53" s="34">
        <v>750</v>
      </c>
      <c r="F53" s="34" t="s">
        <v>96</v>
      </c>
      <c r="G53" s="34" t="s">
        <v>143</v>
      </c>
      <c r="H53" s="35" t="s">
        <v>144</v>
      </c>
      <c r="I53" s="35" t="s">
        <v>147</v>
      </c>
      <c r="J53" s="13" t="s">
        <v>72</v>
      </c>
      <c r="K53" s="13" t="str">
        <f>VLOOKUP(B53,Sheet1!$A:$D,2,FALSE)</f>
        <v>Yes</v>
      </c>
      <c r="L53" s="13" t="str">
        <f>VLOOKUP(B53,Sheet1!$A:$D,3,FALSE)</f>
        <v>No</v>
      </c>
      <c r="M53" s="13" t="str">
        <f>VLOOKUP(B53,Sheet1!$A:$D,4,FALSE)</f>
        <v>No</v>
      </c>
      <c r="N53" s="9">
        <v>13.5</v>
      </c>
      <c r="O53" s="13" t="str">
        <f t="shared" si="95"/>
        <v>EAN</v>
      </c>
      <c r="P53" s="13" t="str">
        <f t="shared" si="96"/>
        <v/>
      </c>
      <c r="Q53" s="36" t="s">
        <v>123</v>
      </c>
      <c r="R53" s="36" t="s">
        <v>22</v>
      </c>
      <c r="S53" s="22">
        <v>3.23</v>
      </c>
      <c r="T53" s="22">
        <v>11.9</v>
      </c>
      <c r="U53" s="22">
        <v>3.8333299999999997</v>
      </c>
      <c r="V53" s="22">
        <v>12</v>
      </c>
      <c r="W53" s="22">
        <v>11</v>
      </c>
      <c r="X53" s="22">
        <v>7</v>
      </c>
      <c r="Y53" s="13">
        <v>23</v>
      </c>
      <c r="Z53" s="22">
        <f t="shared" si="97"/>
        <v>0.53472222222222221</v>
      </c>
      <c r="AA53" s="13">
        <v>12</v>
      </c>
      <c r="AB53" s="13">
        <v>7</v>
      </c>
      <c r="AC53" s="13">
        <v>84</v>
      </c>
      <c r="AD53" s="13">
        <f t="shared" si="98"/>
        <v>49</v>
      </c>
      <c r="AE53" s="13">
        <f t="shared" si="99"/>
        <v>1932</v>
      </c>
      <c r="AG53" s="28" t="s">
        <v>74</v>
      </c>
    </row>
    <row r="54" spans="1:33" x14ac:dyDescent="0.25">
      <c r="A54" s="10" t="e">
        <f>IF(#REF!=0,"Hide","Show")</f>
        <v>#REF!</v>
      </c>
      <c r="B54" s="32" t="s">
        <v>46</v>
      </c>
      <c r="C54" s="33" t="s">
        <v>137</v>
      </c>
      <c r="D54" s="34">
        <v>6</v>
      </c>
      <c r="E54" s="34">
        <v>750</v>
      </c>
      <c r="F54" s="34" t="s">
        <v>96</v>
      </c>
      <c r="G54" s="34" t="s">
        <v>143</v>
      </c>
      <c r="H54" s="35" t="s">
        <v>144</v>
      </c>
      <c r="I54" s="35" t="s">
        <v>147</v>
      </c>
      <c r="J54" s="13" t="s">
        <v>72</v>
      </c>
      <c r="K54" s="13" t="str">
        <f>VLOOKUP(B54,Sheet1!$A:$D,2,FALSE)</f>
        <v>Yes</v>
      </c>
      <c r="L54" s="13" t="str">
        <f>VLOOKUP(B54,Sheet1!$A:$D,3,FALSE)</f>
        <v>No</v>
      </c>
      <c r="M54" s="13" t="str">
        <f>VLOOKUP(B54,Sheet1!$A:$D,4,FALSE)</f>
        <v>No</v>
      </c>
      <c r="N54" s="9">
        <v>13</v>
      </c>
      <c r="O54" s="13" t="str">
        <f t="shared" si="95"/>
        <v>EAN</v>
      </c>
      <c r="P54" s="13" t="str">
        <f t="shared" si="96"/>
        <v/>
      </c>
      <c r="Q54" s="36" t="s">
        <v>124</v>
      </c>
      <c r="R54" s="36" t="s">
        <v>22</v>
      </c>
      <c r="S54" s="22">
        <v>3.23</v>
      </c>
      <c r="T54" s="22">
        <v>11.9</v>
      </c>
      <c r="U54" s="22">
        <v>3.8333299999999997</v>
      </c>
      <c r="V54" s="22">
        <v>12</v>
      </c>
      <c r="W54" s="22">
        <v>11</v>
      </c>
      <c r="X54" s="22">
        <v>7</v>
      </c>
      <c r="Y54" s="13">
        <v>23</v>
      </c>
      <c r="Z54" s="22">
        <f t="shared" si="97"/>
        <v>0.53472222222222221</v>
      </c>
      <c r="AA54" s="13">
        <v>12</v>
      </c>
      <c r="AB54" s="13">
        <v>7</v>
      </c>
      <c r="AC54" s="13">
        <v>84</v>
      </c>
      <c r="AD54" s="13">
        <f t="shared" si="98"/>
        <v>49</v>
      </c>
      <c r="AE54" s="13">
        <f t="shared" si="99"/>
        <v>1932</v>
      </c>
      <c r="AG54" s="28" t="s">
        <v>73</v>
      </c>
    </row>
    <row r="55" spans="1:33" ht="6" customHeight="1" x14ac:dyDescent="0.25">
      <c r="B55" s="15"/>
      <c r="C55" s="12"/>
      <c r="D55" s="12"/>
      <c r="E55" s="12"/>
      <c r="F55" s="19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4"/>
      <c r="T55" s="24"/>
      <c r="U55" s="24"/>
      <c r="V55" s="24"/>
      <c r="W55" s="24"/>
      <c r="X55" s="24"/>
      <c r="Y55" s="12"/>
      <c r="Z55" s="12"/>
      <c r="AA55" s="12"/>
      <c r="AB55" s="12"/>
      <c r="AC55" s="12"/>
      <c r="AD55" s="12"/>
      <c r="AE55" s="12"/>
      <c r="AG55" s="27"/>
    </row>
    <row r="56" spans="1:33" x14ac:dyDescent="0.25">
      <c r="B56" s="21" t="str">
        <f>"BOURGOGNE ROUGE"</f>
        <v>BOURGOGNE ROUGE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23"/>
      <c r="T56" s="23"/>
      <c r="U56" s="23"/>
      <c r="V56" s="23"/>
      <c r="W56" s="23"/>
      <c r="X56" s="23"/>
      <c r="Y56" s="11"/>
      <c r="Z56" s="11"/>
      <c r="AA56" s="11"/>
      <c r="AB56" s="11"/>
      <c r="AC56" s="11"/>
      <c r="AD56" s="11"/>
      <c r="AE56" s="11"/>
      <c r="AG56" s="28"/>
    </row>
    <row r="57" spans="1:33" x14ac:dyDescent="0.25">
      <c r="A57" s="10" t="e">
        <f>IF(#REF!=0,"Hide","Show")</f>
        <v>#REF!</v>
      </c>
      <c r="B57" s="32" t="s">
        <v>46</v>
      </c>
      <c r="C57" s="33" t="s">
        <v>138</v>
      </c>
      <c r="D57" s="34">
        <v>12</v>
      </c>
      <c r="E57" s="34">
        <v>750</v>
      </c>
      <c r="F57" s="34" t="s">
        <v>96</v>
      </c>
      <c r="G57" s="34" t="s">
        <v>103</v>
      </c>
      <c r="H57" s="35" t="s">
        <v>106</v>
      </c>
      <c r="I57" s="35" t="s">
        <v>111</v>
      </c>
      <c r="J57" s="13" t="s">
        <v>72</v>
      </c>
      <c r="K57" s="13" t="str">
        <f>VLOOKUP(B57,Sheet1!$A:$D,2,FALSE)</f>
        <v>Yes</v>
      </c>
      <c r="L57" s="13" t="str">
        <f>VLOOKUP(B57,Sheet1!$A:$D,3,FALSE)</f>
        <v>No</v>
      </c>
      <c r="M57" s="13" t="str">
        <f>VLOOKUP(B57,Sheet1!$A:$D,4,FALSE)</f>
        <v>No</v>
      </c>
      <c r="N57" s="9">
        <v>12.5</v>
      </c>
      <c r="O57" s="13" t="str">
        <f t="shared" ref="O57" si="105">IF(LEN(Q57)=12,"UPC",IF(LEN(Q57)&gt;12,"EAN",""))</f>
        <v>UPC</v>
      </c>
      <c r="P57" s="13" t="str">
        <f t="shared" ref="P57" si="106">IF(ISNUMBER(SEARCH("Gift",AG57)),"Gift Box","")</f>
        <v/>
      </c>
      <c r="Q57" s="36" t="s">
        <v>125</v>
      </c>
      <c r="R57" s="36" t="s">
        <v>133</v>
      </c>
      <c r="S57" s="22">
        <v>3.23</v>
      </c>
      <c r="T57" s="22">
        <v>11.9</v>
      </c>
      <c r="U57" s="22">
        <v>3.0833299999999997</v>
      </c>
      <c r="V57" s="22">
        <v>20</v>
      </c>
      <c r="W57" s="22">
        <v>12</v>
      </c>
      <c r="X57" s="22">
        <v>7</v>
      </c>
      <c r="Y57" s="13">
        <v>37</v>
      </c>
      <c r="Z57" s="22">
        <f t="shared" ref="Z57" si="107">IF(V57&gt;0,(V57*W57*X57)/1728,"")</f>
        <v>0.97222222222222221</v>
      </c>
      <c r="AA57" s="13">
        <v>7</v>
      </c>
      <c r="AB57" s="13">
        <v>7</v>
      </c>
      <c r="AC57" s="13">
        <v>49</v>
      </c>
      <c r="AD57" s="13">
        <f t="shared" ref="AD57" si="108">IF(AB57&gt;0,AB57*X57,"")</f>
        <v>49</v>
      </c>
      <c r="AE57" s="13">
        <f t="shared" ref="AE57" si="109">IF(Y57&gt;0,Y57*(AA57*AB57),"")</f>
        <v>1813</v>
      </c>
      <c r="AG57" s="28" t="s">
        <v>112</v>
      </c>
    </row>
    <row r="58" spans="1:33" x14ac:dyDescent="0.25">
      <c r="A58" s="10" t="e">
        <f>IF(#REF!=0,"Hide","Show")</f>
        <v>#REF!</v>
      </c>
      <c r="B58" s="32" t="s">
        <v>46</v>
      </c>
      <c r="C58" s="33" t="s">
        <v>138</v>
      </c>
      <c r="D58" s="34">
        <v>12</v>
      </c>
      <c r="E58" s="34">
        <v>750</v>
      </c>
      <c r="F58" s="34" t="s">
        <v>98</v>
      </c>
      <c r="G58" s="34" t="s">
        <v>103</v>
      </c>
      <c r="H58" s="35" t="s">
        <v>106</v>
      </c>
      <c r="I58" s="35" t="s">
        <v>111</v>
      </c>
      <c r="J58" s="13" t="s">
        <v>72</v>
      </c>
      <c r="K58" s="13" t="str">
        <f>VLOOKUP(B58,Sheet1!$A:$D,2,FALSE)</f>
        <v>Yes</v>
      </c>
      <c r="L58" s="13" t="str">
        <f>VLOOKUP(B58,Sheet1!$A:$D,3,FALSE)</f>
        <v>No</v>
      </c>
      <c r="M58" s="13" t="str">
        <f>VLOOKUP(B58,Sheet1!$A:$D,4,FALSE)</f>
        <v>No</v>
      </c>
      <c r="N58" s="9">
        <v>12.5</v>
      </c>
      <c r="O58" s="13" t="str">
        <f t="shared" ref="O58" si="110">IF(LEN(Q58)=12,"UPC",IF(LEN(Q58)&gt;12,"EAN",""))</f>
        <v>UPC</v>
      </c>
      <c r="P58" s="13" t="str">
        <f t="shared" ref="P58" si="111">IF(ISNUMBER(SEARCH("Gift",AG58)),"Gift Box","")</f>
        <v/>
      </c>
      <c r="Q58" s="36" t="s">
        <v>125</v>
      </c>
      <c r="R58" s="36" t="s">
        <v>133</v>
      </c>
      <c r="S58" s="22">
        <v>3.23</v>
      </c>
      <c r="T58" s="22">
        <v>11.9</v>
      </c>
      <c r="U58" s="22">
        <v>3.0833299999999997</v>
      </c>
      <c r="V58" s="22">
        <v>20</v>
      </c>
      <c r="W58" s="22">
        <v>12</v>
      </c>
      <c r="X58" s="22">
        <v>7</v>
      </c>
      <c r="Y58" s="13">
        <v>37</v>
      </c>
      <c r="Z58" s="22">
        <f t="shared" ref="Z58" si="112">IF(V58&gt;0,(V58*W58*X58)/1728,"")</f>
        <v>0.97222222222222221</v>
      </c>
      <c r="AA58" s="13">
        <v>7</v>
      </c>
      <c r="AB58" s="13">
        <v>7</v>
      </c>
      <c r="AC58" s="13">
        <v>49</v>
      </c>
      <c r="AD58" s="13">
        <f t="shared" ref="AD58" si="113">IF(AB58&gt;0,AB58*X58,"")</f>
        <v>49</v>
      </c>
      <c r="AE58" s="13">
        <f t="shared" ref="AE58" si="114">IF(Y58&gt;0,Y58*(AA58*AB58),"")</f>
        <v>1813</v>
      </c>
      <c r="AG58" s="28" t="s">
        <v>112</v>
      </c>
    </row>
    <row r="59" spans="1:33" ht="6" customHeight="1" x14ac:dyDescent="0.25">
      <c r="B59" s="15"/>
      <c r="C59" s="12"/>
      <c r="D59" s="12"/>
      <c r="E59" s="12"/>
      <c r="F59" s="1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24"/>
      <c r="T59" s="24"/>
      <c r="U59" s="24"/>
      <c r="V59" s="24"/>
      <c r="W59" s="24"/>
      <c r="X59" s="24"/>
      <c r="Y59" s="12"/>
      <c r="Z59" s="12"/>
      <c r="AA59" s="12"/>
      <c r="AB59" s="12"/>
      <c r="AC59" s="12"/>
      <c r="AD59" s="12"/>
      <c r="AE59" s="12"/>
      <c r="AG59" s="27"/>
    </row>
    <row r="60" spans="1:33" x14ac:dyDescent="0.25">
      <c r="B60" s="21" t="str">
        <f>"CHALONNAISE RED"</f>
        <v>CHALONNAISE RED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23"/>
      <c r="T60" s="23"/>
      <c r="U60" s="23"/>
      <c r="V60" s="23"/>
      <c r="W60" s="23"/>
      <c r="X60" s="23"/>
      <c r="Y60" s="11"/>
      <c r="Z60" s="11"/>
      <c r="AA60" s="11"/>
      <c r="AB60" s="11"/>
      <c r="AC60" s="11"/>
      <c r="AD60" s="11"/>
      <c r="AE60" s="11"/>
      <c r="AG60" s="28"/>
    </row>
    <row r="61" spans="1:33" x14ac:dyDescent="0.25">
      <c r="A61" s="10" t="e">
        <f>IF(#REF!=0,"Hide","Show")</f>
        <v>#REF!</v>
      </c>
      <c r="B61" s="32" t="s">
        <v>46</v>
      </c>
      <c r="C61" s="33" t="s">
        <v>139</v>
      </c>
      <c r="D61" s="34">
        <v>12</v>
      </c>
      <c r="E61" s="34">
        <v>750</v>
      </c>
      <c r="F61" s="34" t="s">
        <v>96</v>
      </c>
      <c r="G61" s="34" t="s">
        <v>103</v>
      </c>
      <c r="H61" s="35" t="s">
        <v>145</v>
      </c>
      <c r="I61" s="35" t="s">
        <v>111</v>
      </c>
      <c r="J61" s="13" t="s">
        <v>72</v>
      </c>
      <c r="K61" s="13" t="str">
        <f>VLOOKUP(B61,Sheet1!$A:$D,2,FALSE)</f>
        <v>Yes</v>
      </c>
      <c r="L61" s="13" t="str">
        <f>VLOOKUP(B61,Sheet1!$A:$D,3,FALSE)</f>
        <v>No</v>
      </c>
      <c r="M61" s="13" t="str">
        <f>VLOOKUP(B61,Sheet1!$A:$D,4,FALSE)</f>
        <v>No</v>
      </c>
      <c r="N61" s="9">
        <v>13</v>
      </c>
      <c r="O61" s="13" t="str">
        <f t="shared" ref="O61" si="115">IF(LEN(Q61)=12,"UPC",IF(LEN(Q61)&gt;12,"EAN",""))</f>
        <v>EAN</v>
      </c>
      <c r="P61" s="13" t="str">
        <f t="shared" ref="P61" si="116">IF(ISNUMBER(SEARCH("Gift",AG61)),"Gift Box","")</f>
        <v/>
      </c>
      <c r="Q61" s="36" t="s">
        <v>126</v>
      </c>
      <c r="R61" s="36" t="s">
        <v>22</v>
      </c>
      <c r="S61" s="22">
        <v>3.23</v>
      </c>
      <c r="T61" s="22">
        <v>11.9</v>
      </c>
      <c r="U61" s="22">
        <v>3.0833299999999997</v>
      </c>
      <c r="V61" s="22">
        <v>20</v>
      </c>
      <c r="W61" s="22">
        <v>12</v>
      </c>
      <c r="X61" s="22">
        <v>7</v>
      </c>
      <c r="Y61" s="13">
        <v>37</v>
      </c>
      <c r="Z61" s="22">
        <f t="shared" ref="Z61" si="117">IF(V61&gt;0,(V61*W61*X61)/1728,"")</f>
        <v>0.97222222222222221</v>
      </c>
      <c r="AA61" s="13">
        <v>7</v>
      </c>
      <c r="AB61" s="13">
        <v>7</v>
      </c>
      <c r="AC61" s="13">
        <v>49</v>
      </c>
      <c r="AD61" s="13">
        <f t="shared" ref="AD61" si="118">IF(AB61&gt;0,AB61*X61,"")</f>
        <v>49</v>
      </c>
      <c r="AE61" s="13">
        <f t="shared" ref="AE61" si="119">IF(Y61&gt;0,Y61*(AA61*AB61),"")</f>
        <v>1813</v>
      </c>
      <c r="AG61" s="28" t="s">
        <v>112</v>
      </c>
    </row>
    <row r="62" spans="1:33" ht="6" customHeight="1" x14ac:dyDescent="0.25">
      <c r="B62" s="15"/>
      <c r="C62" s="12"/>
      <c r="D62" s="12"/>
      <c r="E62" s="12"/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4"/>
      <c r="T62" s="24"/>
      <c r="U62" s="24"/>
      <c r="V62" s="24"/>
      <c r="W62" s="24"/>
      <c r="X62" s="24"/>
      <c r="Y62" s="12"/>
      <c r="Z62" s="12"/>
      <c r="AA62" s="12"/>
      <c r="AB62" s="12"/>
      <c r="AC62" s="12"/>
      <c r="AD62" s="12"/>
      <c r="AE62" s="12"/>
      <c r="AG62" s="27"/>
    </row>
    <row r="63" spans="1:33" x14ac:dyDescent="0.25">
      <c r="B63" s="21" t="str">
        <f>"BEAUJOLAIS"</f>
        <v>BEAUJOLAIS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23"/>
      <c r="T63" s="23"/>
      <c r="U63" s="23"/>
      <c r="V63" s="23"/>
      <c r="W63" s="23"/>
      <c r="X63" s="23"/>
      <c r="Y63" s="11"/>
      <c r="Z63" s="11"/>
      <c r="AA63" s="11"/>
      <c r="AB63" s="11"/>
      <c r="AC63" s="11"/>
      <c r="AD63" s="11"/>
      <c r="AE63" s="11"/>
      <c r="AG63" s="28"/>
    </row>
    <row r="64" spans="1:33" x14ac:dyDescent="0.25">
      <c r="A64" s="10" t="e">
        <f>IF(#REF!=0,"Hide","Show")</f>
        <v>#REF!</v>
      </c>
      <c r="B64" s="32" t="s">
        <v>46</v>
      </c>
      <c r="C64" s="33" t="s">
        <v>140</v>
      </c>
      <c r="D64" s="34">
        <v>12</v>
      </c>
      <c r="E64" s="34">
        <v>750</v>
      </c>
      <c r="F64" s="34" t="s">
        <v>97</v>
      </c>
      <c r="G64" s="34" t="s">
        <v>103</v>
      </c>
      <c r="H64" s="35" t="s">
        <v>146</v>
      </c>
      <c r="I64" s="35" t="s">
        <v>111</v>
      </c>
      <c r="J64" s="13" t="s">
        <v>72</v>
      </c>
      <c r="K64" s="13" t="str">
        <f>VLOOKUP(B64,Sheet1!$A:$D,2,FALSE)</f>
        <v>Yes</v>
      </c>
      <c r="L64" s="13" t="str">
        <f>VLOOKUP(B64,Sheet1!$A:$D,3,FALSE)</f>
        <v>No</v>
      </c>
      <c r="M64" s="13" t="str">
        <f>VLOOKUP(B64,Sheet1!$A:$D,4,FALSE)</f>
        <v>No</v>
      </c>
      <c r="N64" s="9">
        <v>13.5</v>
      </c>
      <c r="O64" s="13" t="str">
        <f t="shared" ref="O64" si="120">IF(LEN(Q64)=12,"UPC",IF(LEN(Q64)&gt;12,"EAN",""))</f>
        <v>EAN</v>
      </c>
      <c r="P64" s="13" t="str">
        <f t="shared" ref="P64" si="121">IF(ISNUMBER(SEARCH("Gift",AG64)),"Gift Box","")</f>
        <v/>
      </c>
      <c r="Q64" s="36" t="s">
        <v>127</v>
      </c>
      <c r="R64" s="36" t="s">
        <v>22</v>
      </c>
      <c r="S64" s="22">
        <v>3.23</v>
      </c>
      <c r="T64" s="22">
        <v>11.9</v>
      </c>
      <c r="U64" s="22">
        <v>3.0833299999999997</v>
      </c>
      <c r="V64" s="22">
        <v>20</v>
      </c>
      <c r="W64" s="22">
        <v>12</v>
      </c>
      <c r="X64" s="22">
        <v>7</v>
      </c>
      <c r="Y64" s="13">
        <v>36.96</v>
      </c>
      <c r="Z64" s="22">
        <f t="shared" ref="Z64" si="122">IF(V64&gt;0,(V64*W64*X64)/1728,"")</f>
        <v>0.97222222222222221</v>
      </c>
      <c r="AA64" s="13">
        <v>7</v>
      </c>
      <c r="AB64" s="13">
        <v>7</v>
      </c>
      <c r="AC64" s="13">
        <v>49</v>
      </c>
      <c r="AD64" s="13">
        <f t="shared" ref="AD64" si="123">IF(AB64&gt;0,AB64*X64,"")</f>
        <v>49</v>
      </c>
      <c r="AE64" s="13">
        <f t="shared" ref="AE64" si="124">IF(Y64&gt;0,Y64*(AA64*AB64),"")</f>
        <v>1811.04</v>
      </c>
      <c r="AG64" s="28" t="s">
        <v>112</v>
      </c>
    </row>
    <row r="65" spans="1:33" ht="6" customHeight="1" x14ac:dyDescent="0.25">
      <c r="B65" s="15"/>
      <c r="C65" s="12"/>
      <c r="D65" s="12"/>
      <c r="E65" s="12"/>
      <c r="F65" s="1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24"/>
      <c r="T65" s="24"/>
      <c r="U65" s="24"/>
      <c r="V65" s="24"/>
      <c r="W65" s="24"/>
      <c r="X65" s="24"/>
      <c r="Y65" s="12"/>
      <c r="Z65" s="12"/>
      <c r="AA65" s="12"/>
      <c r="AB65" s="12"/>
      <c r="AC65" s="12"/>
      <c r="AD65" s="12"/>
      <c r="AE65" s="12"/>
      <c r="AG65" s="27"/>
    </row>
    <row r="66" spans="1:33" x14ac:dyDescent="0.25">
      <c r="B66" s="21" t="str">
        <f>"BEAUNE RED PREMIER CRU"</f>
        <v>BEAUNE RED PREMIER CRU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23"/>
      <c r="T66" s="23"/>
      <c r="U66" s="23"/>
      <c r="V66" s="23"/>
      <c r="W66" s="23"/>
      <c r="X66" s="23"/>
      <c r="Y66" s="11"/>
      <c r="Z66" s="11"/>
      <c r="AA66" s="11"/>
      <c r="AB66" s="11"/>
      <c r="AC66" s="11"/>
      <c r="AD66" s="11"/>
      <c r="AE66" s="11"/>
      <c r="AG66" s="28"/>
    </row>
    <row r="67" spans="1:33" x14ac:dyDescent="0.25">
      <c r="A67" s="10" t="e">
        <f>IF(#REF!=0,"Hide","Show")</f>
        <v>#REF!</v>
      </c>
      <c r="B67" s="32" t="s">
        <v>46</v>
      </c>
      <c r="C67" s="33" t="s">
        <v>141</v>
      </c>
      <c r="D67" s="34">
        <v>12</v>
      </c>
      <c r="E67" s="34">
        <v>750</v>
      </c>
      <c r="F67" s="34" t="s">
        <v>101</v>
      </c>
      <c r="G67" s="34" t="s">
        <v>103</v>
      </c>
      <c r="H67" s="35" t="s">
        <v>110</v>
      </c>
      <c r="I67" s="35" t="s">
        <v>111</v>
      </c>
      <c r="J67" s="13" t="s">
        <v>72</v>
      </c>
      <c r="K67" s="13" t="str">
        <f>VLOOKUP(B67,Sheet1!$A:$D,2,FALSE)</f>
        <v>Yes</v>
      </c>
      <c r="L67" s="13" t="str">
        <f>VLOOKUP(B67,Sheet1!$A:$D,3,FALSE)</f>
        <v>No</v>
      </c>
      <c r="M67" s="13" t="str">
        <f>VLOOKUP(B67,Sheet1!$A:$D,4,FALSE)</f>
        <v>No</v>
      </c>
      <c r="N67" s="9">
        <v>12.5</v>
      </c>
      <c r="O67" s="13" t="str">
        <f t="shared" ref="O67" si="125">IF(LEN(Q67)=12,"UPC",IF(LEN(Q67)&gt;12,"EAN",""))</f>
        <v>EAN</v>
      </c>
      <c r="P67" s="13" t="str">
        <f t="shared" ref="P67" si="126">IF(ISNUMBER(SEARCH("Gift",AG67)),"Gift Box","")</f>
        <v/>
      </c>
      <c r="Q67" s="36" t="s">
        <v>128</v>
      </c>
      <c r="R67" s="36" t="s">
        <v>22</v>
      </c>
      <c r="S67" s="22">
        <v>3.23</v>
      </c>
      <c r="T67" s="22">
        <v>11.9</v>
      </c>
      <c r="U67" s="22">
        <v>3.08</v>
      </c>
      <c r="V67" s="22">
        <v>20</v>
      </c>
      <c r="W67" s="22">
        <v>12</v>
      </c>
      <c r="X67" s="22">
        <v>7</v>
      </c>
      <c r="Y67" s="13">
        <v>37</v>
      </c>
      <c r="Z67" s="22">
        <f t="shared" ref="Z67" si="127">IF(V67&gt;0,(V67*W67*X67)/1728,"")</f>
        <v>0.97222222222222221</v>
      </c>
      <c r="AA67" s="13">
        <v>7</v>
      </c>
      <c r="AB67" s="13">
        <v>7</v>
      </c>
      <c r="AC67" s="13">
        <v>49</v>
      </c>
      <c r="AD67" s="13">
        <f t="shared" ref="AD67" si="128">IF(AB67&gt;0,AB67*X67,"")</f>
        <v>49</v>
      </c>
      <c r="AE67" s="13">
        <f t="shared" ref="AE67" si="129">IF(Y67&gt;0,Y67*(AA67*AB67),"")</f>
        <v>1813</v>
      </c>
      <c r="AG67" s="28" t="s">
        <v>112</v>
      </c>
    </row>
    <row r="68" spans="1:33" x14ac:dyDescent="0.25">
      <c r="A68" s="10" t="e">
        <f>IF(#REF!=0,"Hide","Show")</f>
        <v>#REF!</v>
      </c>
      <c r="B68" s="32" t="s">
        <v>46</v>
      </c>
      <c r="C68" s="33" t="s">
        <v>141</v>
      </c>
      <c r="D68" s="34">
        <v>12</v>
      </c>
      <c r="E68" s="34">
        <v>750</v>
      </c>
      <c r="F68" s="34" t="s">
        <v>97</v>
      </c>
      <c r="G68" s="34" t="s">
        <v>103</v>
      </c>
      <c r="H68" s="35" t="s">
        <v>110</v>
      </c>
      <c r="I68" s="35" t="s">
        <v>111</v>
      </c>
      <c r="J68" s="13" t="s">
        <v>72</v>
      </c>
      <c r="K68" s="13" t="str">
        <f>VLOOKUP(B68,Sheet1!$A:$D,2,FALSE)</f>
        <v>Yes</v>
      </c>
      <c r="L68" s="13" t="str">
        <f>VLOOKUP(B68,Sheet1!$A:$D,3,FALSE)</f>
        <v>No</v>
      </c>
      <c r="M68" s="13" t="str">
        <f>VLOOKUP(B68,Sheet1!$A:$D,4,FALSE)</f>
        <v>No</v>
      </c>
      <c r="N68" s="9">
        <v>13</v>
      </c>
      <c r="O68" s="13" t="str">
        <f t="shared" ref="O68" si="130">IF(LEN(Q68)=12,"UPC",IF(LEN(Q68)&gt;12,"EAN",""))</f>
        <v>EAN</v>
      </c>
      <c r="P68" s="13" t="str">
        <f t="shared" ref="P68" si="131">IF(ISNUMBER(SEARCH("Gift",AG68)),"Gift Box","")</f>
        <v/>
      </c>
      <c r="Q68" s="36" t="s">
        <v>128</v>
      </c>
      <c r="R68" s="36" t="s">
        <v>22</v>
      </c>
      <c r="S68" s="22">
        <v>3.23</v>
      </c>
      <c r="T68" s="22">
        <v>11.9</v>
      </c>
      <c r="U68" s="22">
        <v>3.08</v>
      </c>
      <c r="V68" s="22">
        <v>20</v>
      </c>
      <c r="W68" s="22">
        <v>12</v>
      </c>
      <c r="X68" s="22">
        <v>7</v>
      </c>
      <c r="Y68" s="13">
        <v>37</v>
      </c>
      <c r="Z68" s="22">
        <f t="shared" ref="Z68" si="132">IF(V68&gt;0,(V68*W68*X68)/1728,"")</f>
        <v>0.97222222222222221</v>
      </c>
      <c r="AA68" s="13">
        <v>7</v>
      </c>
      <c r="AB68" s="13">
        <v>7</v>
      </c>
      <c r="AC68" s="13">
        <v>49</v>
      </c>
      <c r="AD68" s="13">
        <f t="shared" ref="AD68" si="133">IF(AB68&gt;0,AB68*X68,"")</f>
        <v>49</v>
      </c>
      <c r="AE68" s="13">
        <f t="shared" ref="AE68" si="134">IF(Y68&gt;0,Y68*(AA68*AB68),"")</f>
        <v>1813</v>
      </c>
      <c r="AG68" s="28" t="s">
        <v>112</v>
      </c>
    </row>
    <row r="69" spans="1:33" x14ac:dyDescent="0.25">
      <c r="A69" s="10" t="e">
        <f>IF(#REF!=0,"Hide","Show")</f>
        <v>#REF!</v>
      </c>
      <c r="B69" s="32" t="s">
        <v>46</v>
      </c>
      <c r="C69" s="33" t="s">
        <v>142</v>
      </c>
      <c r="D69" s="34">
        <v>6</v>
      </c>
      <c r="E69" s="34">
        <v>750</v>
      </c>
      <c r="F69" s="34" t="s">
        <v>97</v>
      </c>
      <c r="G69" s="34" t="s">
        <v>103</v>
      </c>
      <c r="H69" s="35" t="s">
        <v>110</v>
      </c>
      <c r="I69" s="35" t="s">
        <v>111</v>
      </c>
      <c r="J69" s="13" t="s">
        <v>72</v>
      </c>
      <c r="K69" s="13" t="str">
        <f>VLOOKUP(B69,Sheet1!$A:$D,2,FALSE)</f>
        <v>Yes</v>
      </c>
      <c r="L69" s="13" t="str">
        <f>VLOOKUP(B69,Sheet1!$A:$D,3,FALSE)</f>
        <v>No</v>
      </c>
      <c r="M69" s="13" t="str">
        <f>VLOOKUP(B69,Sheet1!$A:$D,4,FALSE)</f>
        <v>No</v>
      </c>
      <c r="N69" s="9">
        <v>13.5</v>
      </c>
      <c r="O69" s="13" t="str">
        <f t="shared" ref="O69:O88" si="135">IF(LEN(Q69)=12,"UPC",IF(LEN(Q69)&gt;12,"EAN",""))</f>
        <v>EAN</v>
      </c>
      <c r="P69" s="13" t="str">
        <f t="shared" ref="P69:P88" si="136">IF(ISNUMBER(SEARCH("Gift",AG69)),"Gift Box","")</f>
        <v/>
      </c>
      <c r="Q69" s="36" t="s">
        <v>129</v>
      </c>
      <c r="R69" s="36" t="s">
        <v>22</v>
      </c>
      <c r="S69" s="22">
        <v>3.23</v>
      </c>
      <c r="T69" s="22">
        <v>11.9</v>
      </c>
      <c r="U69" s="22">
        <v>3.1666700000000003</v>
      </c>
      <c r="V69" s="22">
        <v>20</v>
      </c>
      <c r="W69" s="22">
        <v>12</v>
      </c>
      <c r="X69" s="22">
        <v>4</v>
      </c>
      <c r="Y69" s="13">
        <v>19</v>
      </c>
      <c r="Z69" s="22">
        <f t="shared" ref="Z69:Z88" si="137">IF(V69&gt;0,(V69*W69*X69)/1728,"")</f>
        <v>0.55555555555555558</v>
      </c>
      <c r="AA69" s="13">
        <v>14</v>
      </c>
      <c r="AB69" s="13">
        <v>7</v>
      </c>
      <c r="AC69" s="13">
        <v>98</v>
      </c>
      <c r="AD69" s="13">
        <f t="shared" ref="AD69:AD88" si="138">IF(AB69&gt;0,AB69*X69,"")</f>
        <v>28</v>
      </c>
      <c r="AE69" s="13">
        <f t="shared" ref="AE69:AE88" si="139">IF(Y69&gt;0,Y69*(AA69*AB69),"")</f>
        <v>1862</v>
      </c>
      <c r="AG69" s="28" t="s">
        <v>73</v>
      </c>
    </row>
    <row r="70" spans="1:33" x14ac:dyDescent="0.25">
      <c r="A70" s="10" t="e">
        <f>IF(#REF!=0,"Hide","Show")</f>
        <v>#REF!</v>
      </c>
      <c r="B70" s="32" t="str">
        <f>"Domaine Chanson"</f>
        <v>Domaine Chanson</v>
      </c>
      <c r="C70" s="33" t="str">
        <f>"Beaune Clos des Feves 1er Cru"</f>
        <v>Beaune Clos des Feves 1er Cru</v>
      </c>
      <c r="D70" s="34">
        <v>6</v>
      </c>
      <c r="E70" s="34">
        <v>750</v>
      </c>
      <c r="F70" s="34" t="str">
        <f>"2011"</f>
        <v>2011</v>
      </c>
      <c r="G70" s="34" t="str">
        <f>"Red"</f>
        <v>Red</v>
      </c>
      <c r="H70" s="35" t="str">
        <f>"BEAUNE 1ER"</f>
        <v>BEAUNE 1ER</v>
      </c>
      <c r="I70" s="35" t="str">
        <f>"PINOT NOIR"</f>
        <v>PINOT NOIR</v>
      </c>
      <c r="J70" s="13" t="s">
        <v>72</v>
      </c>
      <c r="K70" s="13" t="str">
        <f>VLOOKUP(B70,Sheet1!$A:$D,2,FALSE)</f>
        <v>Yes</v>
      </c>
      <c r="L70" s="13" t="str">
        <f>VLOOKUP(B70,Sheet1!$A:$D,3,FALSE)</f>
        <v>No</v>
      </c>
      <c r="M70" s="13" t="str">
        <f>VLOOKUP(B70,Sheet1!$A:$D,4,FALSE)</f>
        <v>No</v>
      </c>
      <c r="N70" s="9">
        <v>13</v>
      </c>
      <c r="O70" s="13" t="str">
        <f t="shared" si="135"/>
        <v>UPC</v>
      </c>
      <c r="P70" s="13" t="str">
        <f t="shared" si="136"/>
        <v/>
      </c>
      <c r="Q70" s="36" t="str">
        <f>"086891074511"</f>
        <v>086891074511</v>
      </c>
      <c r="R70" s="36"/>
      <c r="S70" s="22">
        <v>3.23</v>
      </c>
      <c r="T70" s="22">
        <v>11.9</v>
      </c>
      <c r="U70" s="22">
        <v>3.8333299999999997</v>
      </c>
      <c r="V70" s="22">
        <v>12</v>
      </c>
      <c r="W70" s="22">
        <v>11</v>
      </c>
      <c r="X70" s="22">
        <v>7</v>
      </c>
      <c r="Y70" s="13">
        <v>23</v>
      </c>
      <c r="Z70" s="22">
        <f t="shared" si="137"/>
        <v>0.53472222222222221</v>
      </c>
      <c r="AA70" s="13">
        <v>12</v>
      </c>
      <c r="AB70" s="13">
        <v>7</v>
      </c>
      <c r="AC70" s="13">
        <v>84</v>
      </c>
      <c r="AD70" s="13">
        <f t="shared" si="138"/>
        <v>49</v>
      </c>
      <c r="AE70" s="13">
        <f t="shared" si="139"/>
        <v>1932</v>
      </c>
      <c r="AG70" s="28" t="str">
        <f>"6x750ml W"</f>
        <v>6x750ml W</v>
      </c>
    </row>
    <row r="71" spans="1:33" x14ac:dyDescent="0.25">
      <c r="A71" s="10" t="e">
        <f>IF(#REF!=0,"Hide","Show")</f>
        <v>#REF!</v>
      </c>
      <c r="B71" s="32" t="str">
        <f>"Domaine Chanson"</f>
        <v>Domaine Chanson</v>
      </c>
      <c r="C71" s="33" t="str">
        <f>"Beaune Clos des Feves 1er Cru"</f>
        <v>Beaune Clos des Feves 1er Cru</v>
      </c>
      <c r="D71" s="34">
        <v>6</v>
      </c>
      <c r="E71" s="34">
        <v>750</v>
      </c>
      <c r="F71" s="34" t="str">
        <f>"2012"</f>
        <v>2012</v>
      </c>
      <c r="G71" s="34" t="str">
        <f>"Red"</f>
        <v>Red</v>
      </c>
      <c r="H71" s="35" t="str">
        <f>"BEAUNE 1ER"</f>
        <v>BEAUNE 1ER</v>
      </c>
      <c r="I71" s="35" t="str">
        <f>"PINOT NOIR"</f>
        <v>PINOT NOIR</v>
      </c>
      <c r="J71" s="13" t="s">
        <v>72</v>
      </c>
      <c r="K71" s="13" t="str">
        <f>VLOOKUP(B71,Sheet1!$A:$D,2,FALSE)</f>
        <v>Yes</v>
      </c>
      <c r="L71" s="13" t="str">
        <f>VLOOKUP(B71,Sheet1!$A:$D,3,FALSE)</f>
        <v>No</v>
      </c>
      <c r="M71" s="13" t="str">
        <f>VLOOKUP(B71,Sheet1!$A:$D,4,FALSE)</f>
        <v>No</v>
      </c>
      <c r="N71" s="9">
        <v>13.5</v>
      </c>
      <c r="O71" s="13" t="str">
        <f t="shared" ref="O71:O74" si="140">IF(LEN(Q71)=12,"UPC",IF(LEN(Q71)&gt;12,"EAN",""))</f>
        <v>EAN</v>
      </c>
      <c r="P71" s="13" t="str">
        <f t="shared" ref="P71:P74" si="141">IF(ISNUMBER(SEARCH("Gift",AG71)),"Gift Box","")</f>
        <v/>
      </c>
      <c r="Q71" s="36" t="str">
        <f>"3342832470109"</f>
        <v>3342832470109</v>
      </c>
      <c r="R71" s="36"/>
      <c r="S71" s="22">
        <v>3.23</v>
      </c>
      <c r="T71" s="22">
        <v>11.9</v>
      </c>
      <c r="U71" s="22">
        <v>3.8333299999999997</v>
      </c>
      <c r="V71" s="22">
        <v>12</v>
      </c>
      <c r="W71" s="22">
        <v>11</v>
      </c>
      <c r="X71" s="22">
        <v>7</v>
      </c>
      <c r="Y71" s="13">
        <v>23</v>
      </c>
      <c r="Z71" s="22">
        <f t="shared" ref="Z71:Z74" si="142">IF(V71&gt;0,(V71*W71*X71)/1728,"")</f>
        <v>0.53472222222222221</v>
      </c>
      <c r="AA71" s="13">
        <v>12</v>
      </c>
      <c r="AB71" s="13">
        <v>7</v>
      </c>
      <c r="AC71" s="13">
        <v>84</v>
      </c>
      <c r="AD71" s="13">
        <f t="shared" ref="AD71:AD74" si="143">IF(AB71&gt;0,AB71*X71,"")</f>
        <v>49</v>
      </c>
      <c r="AE71" s="13">
        <f t="shared" ref="AE71:AE74" si="144">IF(Y71&gt;0,Y71*(AA71*AB71),"")</f>
        <v>1932</v>
      </c>
      <c r="AG71" s="28" t="str">
        <f>"6x750ml W"</f>
        <v>6x750ml W</v>
      </c>
    </row>
    <row r="72" spans="1:33" x14ac:dyDescent="0.25">
      <c r="A72" s="10" t="e">
        <f>IF(#REF!=0,"Hide","Show")</f>
        <v>#REF!</v>
      </c>
      <c r="B72" s="32" t="str">
        <f>"Domaine Chanson"</f>
        <v>Domaine Chanson</v>
      </c>
      <c r="C72" s="33" t="str">
        <f>"Beaune Clos des Feves 1er Cru"</f>
        <v>Beaune Clos des Feves 1er Cru</v>
      </c>
      <c r="D72" s="34">
        <v>6</v>
      </c>
      <c r="E72" s="34">
        <v>750</v>
      </c>
      <c r="F72" s="34" t="str">
        <f>"2013"</f>
        <v>2013</v>
      </c>
      <c r="G72" s="34" t="str">
        <f>"Red"</f>
        <v>Red</v>
      </c>
      <c r="H72" s="35" t="str">
        <f>"BEAUNE 1ER"</f>
        <v>BEAUNE 1ER</v>
      </c>
      <c r="I72" s="35" t="str">
        <f>"PINOT NOIR"</f>
        <v>PINOT NOIR</v>
      </c>
      <c r="J72" s="13" t="s">
        <v>72</v>
      </c>
      <c r="K72" s="13" t="str">
        <f>VLOOKUP(B72,Sheet1!$A:$D,2,FALSE)</f>
        <v>Yes</v>
      </c>
      <c r="L72" s="13" t="str">
        <f>VLOOKUP(B72,Sheet1!$A:$D,3,FALSE)</f>
        <v>No</v>
      </c>
      <c r="M72" s="13" t="str">
        <f>VLOOKUP(B72,Sheet1!$A:$D,4,FALSE)</f>
        <v>No</v>
      </c>
      <c r="N72" s="9">
        <v>13</v>
      </c>
      <c r="O72" s="13" t="str">
        <f t="shared" si="140"/>
        <v>EAN</v>
      </c>
      <c r="P72" s="13" t="str">
        <f t="shared" si="141"/>
        <v/>
      </c>
      <c r="Q72" s="36" t="str">
        <f>"3342832470109"</f>
        <v>3342832470109</v>
      </c>
      <c r="R72" s="36"/>
      <c r="S72" s="22">
        <v>3.23</v>
      </c>
      <c r="T72" s="22">
        <v>11.9</v>
      </c>
      <c r="U72" s="22">
        <v>3.8333299999999997</v>
      </c>
      <c r="V72" s="22">
        <v>12</v>
      </c>
      <c r="W72" s="22">
        <v>11</v>
      </c>
      <c r="X72" s="22">
        <v>7</v>
      </c>
      <c r="Y72" s="13">
        <v>23</v>
      </c>
      <c r="Z72" s="22">
        <f t="shared" si="142"/>
        <v>0.53472222222222221</v>
      </c>
      <c r="AA72" s="13">
        <v>12</v>
      </c>
      <c r="AB72" s="13">
        <v>7</v>
      </c>
      <c r="AC72" s="13">
        <v>84</v>
      </c>
      <c r="AD72" s="13">
        <f t="shared" si="143"/>
        <v>49</v>
      </c>
      <c r="AE72" s="13">
        <f t="shared" si="144"/>
        <v>1932</v>
      </c>
      <c r="AG72" s="28" t="str">
        <f>"6x750ml W"</f>
        <v>6x750ml W</v>
      </c>
    </row>
    <row r="73" spans="1:33" x14ac:dyDescent="0.25">
      <c r="A73" s="10" t="e">
        <f>IF(#REF!=0,"Hide","Show")</f>
        <v>#REF!</v>
      </c>
      <c r="B73" s="32" t="str">
        <f>"Domaine Chanson"</f>
        <v>Domaine Chanson</v>
      </c>
      <c r="C73" s="33" t="str">
        <f>"Beaune Clos des Feves 1er Cru"</f>
        <v>Beaune Clos des Feves 1er Cru</v>
      </c>
      <c r="D73" s="34">
        <v>6</v>
      </c>
      <c r="E73" s="34">
        <v>750</v>
      </c>
      <c r="F73" s="34" t="str">
        <f>"2015"</f>
        <v>2015</v>
      </c>
      <c r="G73" s="34" t="str">
        <f>"Red"</f>
        <v>Red</v>
      </c>
      <c r="H73" s="35" t="str">
        <f>"BEAUNE 1ER"</f>
        <v>BEAUNE 1ER</v>
      </c>
      <c r="I73" s="35" t="str">
        <f>"PINOT NOIR"</f>
        <v>PINOT NOIR</v>
      </c>
      <c r="J73" s="13" t="s">
        <v>72</v>
      </c>
      <c r="K73" s="13" t="str">
        <f>VLOOKUP(B73,Sheet1!$A:$D,2,FALSE)</f>
        <v>Yes</v>
      </c>
      <c r="L73" s="13" t="str">
        <f>VLOOKUP(B73,Sheet1!$A:$D,3,FALSE)</f>
        <v>No</v>
      </c>
      <c r="M73" s="13" t="str">
        <f>VLOOKUP(B73,Sheet1!$A:$D,4,FALSE)</f>
        <v>No</v>
      </c>
      <c r="N73" s="9">
        <v>13.5</v>
      </c>
      <c r="O73" s="13" t="str">
        <f t="shared" si="140"/>
        <v>EAN</v>
      </c>
      <c r="P73" s="13" t="str">
        <f t="shared" si="141"/>
        <v/>
      </c>
      <c r="Q73" s="36" t="str">
        <f>"3342832470109"</f>
        <v>3342832470109</v>
      </c>
      <c r="R73" s="36"/>
      <c r="S73" s="22">
        <v>3.23</v>
      </c>
      <c r="T73" s="22">
        <v>11.9</v>
      </c>
      <c r="U73" s="22">
        <v>3.8333299999999997</v>
      </c>
      <c r="V73" s="22">
        <v>12</v>
      </c>
      <c r="W73" s="22">
        <v>11</v>
      </c>
      <c r="X73" s="22">
        <v>7</v>
      </c>
      <c r="Y73" s="13">
        <v>23</v>
      </c>
      <c r="Z73" s="22">
        <f t="shared" si="142"/>
        <v>0.53472222222222221</v>
      </c>
      <c r="AA73" s="13">
        <v>12</v>
      </c>
      <c r="AB73" s="13">
        <v>7</v>
      </c>
      <c r="AC73" s="13">
        <v>84</v>
      </c>
      <c r="AD73" s="13">
        <f t="shared" si="143"/>
        <v>49</v>
      </c>
      <c r="AE73" s="13">
        <f t="shared" si="144"/>
        <v>1932</v>
      </c>
      <c r="AG73" s="28" t="str">
        <f>"6x750ml W"</f>
        <v>6x750ml W</v>
      </c>
    </row>
    <row r="74" spans="1:33" x14ac:dyDescent="0.25">
      <c r="A74" s="10" t="e">
        <f>IF(#REF!=0,"Hide","Show")</f>
        <v>#REF!</v>
      </c>
      <c r="B74" s="32" t="str">
        <f>"Domaine Chanson"</f>
        <v>Domaine Chanson</v>
      </c>
      <c r="C74" s="33" t="str">
        <f>"Beaune Clos des Feves 1er Cru"</f>
        <v>Beaune Clos des Feves 1er Cru</v>
      </c>
      <c r="D74" s="34">
        <v>6</v>
      </c>
      <c r="E74" s="34">
        <v>750</v>
      </c>
      <c r="F74" s="34" t="str">
        <f>"2016"</f>
        <v>2016</v>
      </c>
      <c r="G74" s="34" t="str">
        <f>"Red"</f>
        <v>Red</v>
      </c>
      <c r="H74" s="35" t="str">
        <f>"BEAUNE 1ER"</f>
        <v>BEAUNE 1ER</v>
      </c>
      <c r="I74" s="35" t="str">
        <f>"PINOT NOIR"</f>
        <v>PINOT NOIR</v>
      </c>
      <c r="J74" s="13" t="s">
        <v>72</v>
      </c>
      <c r="K74" s="13" t="str">
        <f>VLOOKUP(B74,Sheet1!$A:$D,2,FALSE)</f>
        <v>Yes</v>
      </c>
      <c r="L74" s="13" t="str">
        <f>VLOOKUP(B74,Sheet1!$A:$D,3,FALSE)</f>
        <v>No</v>
      </c>
      <c r="M74" s="13" t="str">
        <f>VLOOKUP(B74,Sheet1!$A:$D,4,FALSE)</f>
        <v>No</v>
      </c>
      <c r="N74" s="9">
        <v>14</v>
      </c>
      <c r="O74" s="13" t="str">
        <f t="shared" si="140"/>
        <v>EAN</v>
      </c>
      <c r="P74" s="13" t="str">
        <f t="shared" si="141"/>
        <v/>
      </c>
      <c r="Q74" s="36" t="str">
        <f>"3342832470109"</f>
        <v>3342832470109</v>
      </c>
      <c r="R74" s="36"/>
      <c r="S74" s="22">
        <v>3.23</v>
      </c>
      <c r="T74" s="22">
        <v>11.9</v>
      </c>
      <c r="U74" s="22">
        <v>3.8333299999999997</v>
      </c>
      <c r="V74" s="22">
        <v>12</v>
      </c>
      <c r="W74" s="22">
        <v>11</v>
      </c>
      <c r="X74" s="22">
        <v>7</v>
      </c>
      <c r="Y74" s="13">
        <v>23</v>
      </c>
      <c r="Z74" s="22">
        <f t="shared" si="142"/>
        <v>0.53472222222222221</v>
      </c>
      <c r="AA74" s="13">
        <v>12</v>
      </c>
      <c r="AB74" s="13">
        <v>7</v>
      </c>
      <c r="AC74" s="13">
        <v>84</v>
      </c>
      <c r="AD74" s="13">
        <f t="shared" si="143"/>
        <v>49</v>
      </c>
      <c r="AE74" s="13">
        <f t="shared" si="144"/>
        <v>1932</v>
      </c>
      <c r="AG74" s="28" t="str">
        <f>"6x750ml W"</f>
        <v>6x750ml W</v>
      </c>
    </row>
    <row r="75" spans="1:33" x14ac:dyDescent="0.25">
      <c r="A75" s="10" t="e">
        <f>IF(#REF!=0,"Hide","Show")</f>
        <v>#REF!</v>
      </c>
      <c r="B75" s="32" t="s">
        <v>46</v>
      </c>
      <c r="C75" s="33" t="s">
        <v>117</v>
      </c>
      <c r="D75" s="34">
        <v>6</v>
      </c>
      <c r="E75" s="34">
        <v>750</v>
      </c>
      <c r="F75" s="34" t="s">
        <v>96</v>
      </c>
      <c r="G75" s="34" t="s">
        <v>103</v>
      </c>
      <c r="H75" s="35" t="s">
        <v>110</v>
      </c>
      <c r="I75" s="35" t="s">
        <v>111</v>
      </c>
      <c r="J75" s="13" t="s">
        <v>72</v>
      </c>
      <c r="K75" s="13" t="str">
        <f>VLOOKUP(B75,Sheet1!$A:$D,2,FALSE)</f>
        <v>Yes</v>
      </c>
      <c r="L75" s="13" t="str">
        <f>VLOOKUP(B75,Sheet1!$A:$D,3,FALSE)</f>
        <v>No</v>
      </c>
      <c r="M75" s="13" t="str">
        <f>VLOOKUP(B75,Sheet1!$A:$D,4,FALSE)</f>
        <v>No</v>
      </c>
      <c r="N75" s="9">
        <v>13.5</v>
      </c>
      <c r="O75" s="13" t="str">
        <f t="shared" si="135"/>
        <v>EAN</v>
      </c>
      <c r="P75" s="13" t="str">
        <f t="shared" si="136"/>
        <v/>
      </c>
      <c r="Q75" s="36" t="s">
        <v>130</v>
      </c>
      <c r="R75" s="36" t="s">
        <v>22</v>
      </c>
      <c r="S75" s="22">
        <v>3.23</v>
      </c>
      <c r="T75" s="22">
        <v>11.9</v>
      </c>
      <c r="U75" s="22">
        <v>3.1666700000000003</v>
      </c>
      <c r="V75" s="22">
        <v>20</v>
      </c>
      <c r="W75" s="22">
        <v>12</v>
      </c>
      <c r="X75" s="22">
        <v>4</v>
      </c>
      <c r="Y75" s="13">
        <v>19</v>
      </c>
      <c r="Z75" s="22">
        <f t="shared" si="137"/>
        <v>0.55555555555555558</v>
      </c>
      <c r="AA75" s="13">
        <v>14</v>
      </c>
      <c r="AB75" s="13">
        <v>7</v>
      </c>
      <c r="AC75" s="13">
        <v>98</v>
      </c>
      <c r="AD75" s="13">
        <f t="shared" si="138"/>
        <v>28</v>
      </c>
      <c r="AE75" s="13">
        <f t="shared" si="139"/>
        <v>1862</v>
      </c>
      <c r="AG75" s="28" t="s">
        <v>73</v>
      </c>
    </row>
    <row r="76" spans="1:33" x14ac:dyDescent="0.25">
      <c r="A76" s="10" t="e">
        <f>IF(#REF!=0,"Hide","Show")</f>
        <v>#REF!</v>
      </c>
      <c r="B76" s="32" t="s">
        <v>46</v>
      </c>
      <c r="C76" s="33" t="s">
        <v>118</v>
      </c>
      <c r="D76" s="34">
        <v>6</v>
      </c>
      <c r="E76" s="34">
        <v>750</v>
      </c>
      <c r="F76" s="34" t="s">
        <v>120</v>
      </c>
      <c r="G76" s="34" t="s">
        <v>103</v>
      </c>
      <c r="H76" s="35" t="s">
        <v>110</v>
      </c>
      <c r="I76" s="35" t="s">
        <v>111</v>
      </c>
      <c r="J76" s="13" t="s">
        <v>72</v>
      </c>
      <c r="K76" s="13" t="str">
        <f>VLOOKUP(B76,Sheet1!$A:$D,2,FALSE)</f>
        <v>Yes</v>
      </c>
      <c r="L76" s="13" t="str">
        <f>VLOOKUP(B76,Sheet1!$A:$D,3,FALSE)</f>
        <v>No</v>
      </c>
      <c r="M76" s="13" t="str">
        <f>VLOOKUP(B76,Sheet1!$A:$D,4,FALSE)</f>
        <v>No</v>
      </c>
      <c r="N76" s="9">
        <v>13</v>
      </c>
      <c r="O76" s="13" t="str">
        <f t="shared" si="135"/>
        <v>EAN</v>
      </c>
      <c r="P76" s="13" t="str">
        <f t="shared" si="136"/>
        <v/>
      </c>
      <c r="Q76" s="36" t="s">
        <v>131</v>
      </c>
      <c r="R76" s="36" t="s">
        <v>22</v>
      </c>
      <c r="S76" s="22">
        <v>3.23</v>
      </c>
      <c r="T76" s="22">
        <v>11.9</v>
      </c>
      <c r="U76" s="22">
        <v>3.8333299999999997</v>
      </c>
      <c r="V76" s="22">
        <v>12</v>
      </c>
      <c r="W76" s="22">
        <v>11</v>
      </c>
      <c r="X76" s="22">
        <v>7</v>
      </c>
      <c r="Y76" s="13">
        <v>23</v>
      </c>
      <c r="Z76" s="22">
        <f t="shared" si="137"/>
        <v>0.53472222222222221</v>
      </c>
      <c r="AA76" s="13">
        <v>12</v>
      </c>
      <c r="AB76" s="13">
        <v>7</v>
      </c>
      <c r="AC76" s="13">
        <v>84</v>
      </c>
      <c r="AD76" s="13">
        <f t="shared" si="138"/>
        <v>49</v>
      </c>
      <c r="AE76" s="13">
        <f t="shared" si="139"/>
        <v>1932</v>
      </c>
      <c r="AG76" s="28" t="s">
        <v>74</v>
      </c>
    </row>
    <row r="77" spans="1:33" x14ac:dyDescent="0.25">
      <c r="A77" s="10" t="e">
        <f>IF(#REF!=0,"Hide","Show")</f>
        <v>#REF!</v>
      </c>
      <c r="B77" s="32" t="s">
        <v>46</v>
      </c>
      <c r="C77" s="33" t="s">
        <v>118</v>
      </c>
      <c r="D77" s="34">
        <v>6</v>
      </c>
      <c r="E77" s="34">
        <v>750</v>
      </c>
      <c r="F77" s="34" t="s">
        <v>96</v>
      </c>
      <c r="G77" s="34" t="s">
        <v>103</v>
      </c>
      <c r="H77" s="35" t="s">
        <v>110</v>
      </c>
      <c r="I77" s="35" t="s">
        <v>111</v>
      </c>
      <c r="J77" s="13" t="s">
        <v>72</v>
      </c>
      <c r="K77" s="13" t="str">
        <f>VLOOKUP(B77,Sheet1!$A:$D,2,FALSE)</f>
        <v>Yes</v>
      </c>
      <c r="L77" s="13" t="str">
        <f>VLOOKUP(B77,Sheet1!$A:$D,3,FALSE)</f>
        <v>No</v>
      </c>
      <c r="M77" s="13" t="str">
        <f>VLOOKUP(B77,Sheet1!$A:$D,4,FALSE)</f>
        <v>No</v>
      </c>
      <c r="N77" s="9">
        <v>13.5</v>
      </c>
      <c r="O77" s="13" t="str">
        <f t="shared" ref="O77" si="145">IF(LEN(Q77)=12,"UPC",IF(LEN(Q77)&gt;12,"EAN",""))</f>
        <v>EAN</v>
      </c>
      <c r="P77" s="13" t="str">
        <f t="shared" ref="P77" si="146">IF(ISNUMBER(SEARCH("Gift",AG77)),"Gift Box","")</f>
        <v/>
      </c>
      <c r="Q77" s="36" t="s">
        <v>131</v>
      </c>
      <c r="R77" s="36" t="s">
        <v>22</v>
      </c>
      <c r="S77" s="22">
        <v>3.23</v>
      </c>
      <c r="T77" s="22">
        <v>11.9</v>
      </c>
      <c r="U77" s="22">
        <v>3.8333299999999997</v>
      </c>
      <c r="V77" s="22">
        <v>12</v>
      </c>
      <c r="W77" s="22">
        <v>11</v>
      </c>
      <c r="X77" s="22">
        <v>7</v>
      </c>
      <c r="Y77" s="13">
        <v>23</v>
      </c>
      <c r="Z77" s="22">
        <f t="shared" ref="Z77" si="147">IF(V77&gt;0,(V77*W77*X77)/1728,"")</f>
        <v>0.53472222222222221</v>
      </c>
      <c r="AA77" s="13">
        <v>12</v>
      </c>
      <c r="AB77" s="13">
        <v>7</v>
      </c>
      <c r="AC77" s="13">
        <v>84</v>
      </c>
      <c r="AD77" s="13">
        <f t="shared" ref="AD77" si="148">IF(AB77&gt;0,AB77*X77,"")</f>
        <v>49</v>
      </c>
      <c r="AE77" s="13">
        <f t="shared" ref="AE77" si="149">IF(Y77&gt;0,Y77*(AA77*AB77),"")</f>
        <v>1932</v>
      </c>
      <c r="AG77" s="28" t="s">
        <v>74</v>
      </c>
    </row>
    <row r="78" spans="1:33" x14ac:dyDescent="0.25">
      <c r="A78" s="10" t="e">
        <f>IF(#REF!=0,"Hide","Show")</f>
        <v>#REF!</v>
      </c>
      <c r="B78" s="32" t="s">
        <v>46</v>
      </c>
      <c r="C78" s="33" t="s">
        <v>119</v>
      </c>
      <c r="D78" s="34">
        <v>6</v>
      </c>
      <c r="E78" s="34">
        <v>750</v>
      </c>
      <c r="F78" s="34" t="s">
        <v>97</v>
      </c>
      <c r="G78" s="34" t="s">
        <v>103</v>
      </c>
      <c r="H78" s="35" t="s">
        <v>110</v>
      </c>
      <c r="I78" s="35" t="s">
        <v>111</v>
      </c>
      <c r="J78" s="13" t="s">
        <v>72</v>
      </c>
      <c r="K78" s="13" t="str">
        <f>VLOOKUP(B78,Sheet1!$A:$D,2,FALSE)</f>
        <v>Yes</v>
      </c>
      <c r="L78" s="13" t="str">
        <f>VLOOKUP(B78,Sheet1!$A:$D,3,FALSE)</f>
        <v>No</v>
      </c>
      <c r="M78" s="13" t="str">
        <f>VLOOKUP(B78,Sheet1!$A:$D,4,FALSE)</f>
        <v>No</v>
      </c>
      <c r="N78" s="9">
        <v>13</v>
      </c>
      <c r="O78" s="13" t="str">
        <f t="shared" si="135"/>
        <v>EAN</v>
      </c>
      <c r="P78" s="13" t="str">
        <f t="shared" si="136"/>
        <v/>
      </c>
      <c r="Q78" s="36" t="s">
        <v>132</v>
      </c>
      <c r="R78" s="36" t="s">
        <v>22</v>
      </c>
      <c r="S78" s="22">
        <v>3.23</v>
      </c>
      <c r="T78" s="22">
        <v>11.9</v>
      </c>
      <c r="U78" s="22">
        <v>3.1666700000000003</v>
      </c>
      <c r="V78" s="22">
        <v>20</v>
      </c>
      <c r="W78" s="22">
        <v>12</v>
      </c>
      <c r="X78" s="22">
        <v>4</v>
      </c>
      <c r="Y78" s="13">
        <v>19</v>
      </c>
      <c r="Z78" s="22">
        <f t="shared" si="137"/>
        <v>0.55555555555555558</v>
      </c>
      <c r="AA78" s="13">
        <v>14</v>
      </c>
      <c r="AB78" s="13">
        <v>7</v>
      </c>
      <c r="AC78" s="13">
        <v>98</v>
      </c>
      <c r="AD78" s="13">
        <f t="shared" si="138"/>
        <v>28</v>
      </c>
      <c r="AE78" s="13">
        <f t="shared" si="139"/>
        <v>1862</v>
      </c>
      <c r="AG78" s="28" t="s">
        <v>73</v>
      </c>
    </row>
    <row r="79" spans="1:33" x14ac:dyDescent="0.25">
      <c r="A79" s="10" t="e">
        <f>IF(#REF!=0,"Hide","Show")</f>
        <v>#REF!</v>
      </c>
      <c r="B79" s="32" t="s">
        <v>46</v>
      </c>
      <c r="C79" s="33" t="s">
        <v>119</v>
      </c>
      <c r="D79" s="34">
        <v>6</v>
      </c>
      <c r="E79" s="34">
        <v>750</v>
      </c>
      <c r="F79" s="34" t="s">
        <v>96</v>
      </c>
      <c r="G79" s="34" t="s">
        <v>103</v>
      </c>
      <c r="H79" s="35" t="s">
        <v>110</v>
      </c>
      <c r="I79" s="35" t="s">
        <v>111</v>
      </c>
      <c r="J79" s="13" t="s">
        <v>72</v>
      </c>
      <c r="K79" s="13" t="str">
        <f>VLOOKUP(B79,Sheet1!$A:$D,2,FALSE)</f>
        <v>Yes</v>
      </c>
      <c r="L79" s="13" t="str">
        <f>VLOOKUP(B79,Sheet1!$A:$D,3,FALSE)</f>
        <v>No</v>
      </c>
      <c r="M79" s="13" t="str">
        <f>VLOOKUP(B79,Sheet1!$A:$D,4,FALSE)</f>
        <v>No</v>
      </c>
      <c r="N79" s="9">
        <v>13</v>
      </c>
      <c r="O79" s="13" t="str">
        <f t="shared" ref="O79" si="150">IF(LEN(Q79)=12,"UPC",IF(LEN(Q79)&gt;12,"EAN",""))</f>
        <v>EAN</v>
      </c>
      <c r="P79" s="13" t="str">
        <f t="shared" ref="P79" si="151">IF(ISNUMBER(SEARCH("Gift",AG79)),"Gift Box","")</f>
        <v/>
      </c>
      <c r="Q79" s="36" t="s">
        <v>132</v>
      </c>
      <c r="R79" s="36" t="s">
        <v>22</v>
      </c>
      <c r="S79" s="22">
        <v>3.23</v>
      </c>
      <c r="T79" s="22">
        <v>11.9</v>
      </c>
      <c r="U79" s="22">
        <v>3.1666700000000003</v>
      </c>
      <c r="V79" s="22">
        <v>20</v>
      </c>
      <c r="W79" s="22">
        <v>12</v>
      </c>
      <c r="X79" s="22">
        <v>4</v>
      </c>
      <c r="Y79" s="13">
        <v>19</v>
      </c>
      <c r="Z79" s="22">
        <f t="shared" ref="Z79" si="152">IF(V79&gt;0,(V79*W79*X79)/1728,"")</f>
        <v>0.55555555555555558</v>
      </c>
      <c r="AA79" s="13">
        <v>14</v>
      </c>
      <c r="AB79" s="13">
        <v>7</v>
      </c>
      <c r="AC79" s="13">
        <v>98</v>
      </c>
      <c r="AD79" s="13">
        <f t="shared" ref="AD79" si="153">IF(AB79&gt;0,AB79*X79,"")</f>
        <v>28</v>
      </c>
      <c r="AE79" s="13">
        <f t="shared" ref="AE79" si="154">IF(Y79&gt;0,Y79*(AA79*AB79),"")</f>
        <v>1862</v>
      </c>
      <c r="AG79" s="28" t="s">
        <v>73</v>
      </c>
    </row>
    <row r="80" spans="1:33" x14ac:dyDescent="0.25">
      <c r="A80" s="10" t="e">
        <f>IF(#REF!=0,"Hide","Show")</f>
        <v>#REF!</v>
      </c>
      <c r="B80" s="32" t="str">
        <f>"Domaine Chanson"</f>
        <v>Domaine Chanson</v>
      </c>
      <c r="C80" s="33" t="str">
        <f>"Beaune Greves 1er Cru"</f>
        <v>Beaune Greves 1er Cru</v>
      </c>
      <c r="D80" s="34">
        <v>6</v>
      </c>
      <c r="E80" s="34">
        <v>750</v>
      </c>
      <c r="F80" s="34" t="str">
        <f>"2013"</f>
        <v>2013</v>
      </c>
      <c r="G80" s="34" t="str">
        <f>"Red"</f>
        <v>Red</v>
      </c>
      <c r="H80" s="35" t="str">
        <f>"BEAUNE 1ER"</f>
        <v>BEAUNE 1ER</v>
      </c>
      <c r="I80" s="35" t="str">
        <f>"PINOT NOIR"</f>
        <v>PINOT NOIR</v>
      </c>
      <c r="J80" s="13" t="s">
        <v>72</v>
      </c>
      <c r="K80" s="13" t="str">
        <f>VLOOKUP(B80,Sheet1!$A:$D,2,FALSE)</f>
        <v>Yes</v>
      </c>
      <c r="L80" s="13" t="str">
        <f>VLOOKUP(B80,Sheet1!$A:$D,3,FALSE)</f>
        <v>No</v>
      </c>
      <c r="M80" s="13" t="str">
        <f>VLOOKUP(B80,Sheet1!$A:$D,4,FALSE)</f>
        <v>No</v>
      </c>
      <c r="N80" s="9">
        <v>13</v>
      </c>
      <c r="O80" s="13" t="str">
        <f t="shared" si="135"/>
        <v>EAN</v>
      </c>
      <c r="P80" s="13" t="str">
        <f t="shared" si="136"/>
        <v/>
      </c>
      <c r="Q80" s="36" t="str">
        <f>"3342832490101"</f>
        <v>3342832490101</v>
      </c>
      <c r="R80" s="36"/>
      <c r="S80" s="22">
        <v>3.23</v>
      </c>
      <c r="T80" s="22">
        <v>11.9</v>
      </c>
      <c r="U80" s="22">
        <v>3.1666700000000003</v>
      </c>
      <c r="V80" s="22">
        <v>20</v>
      </c>
      <c r="W80" s="22">
        <v>12</v>
      </c>
      <c r="X80" s="22">
        <v>4</v>
      </c>
      <c r="Y80" s="13">
        <v>19</v>
      </c>
      <c r="Z80" s="22">
        <f t="shared" si="137"/>
        <v>0.55555555555555558</v>
      </c>
      <c r="AA80" s="13">
        <v>14</v>
      </c>
      <c r="AB80" s="13">
        <v>7</v>
      </c>
      <c r="AC80" s="13">
        <v>98</v>
      </c>
      <c r="AD80" s="13">
        <f t="shared" si="138"/>
        <v>28</v>
      </c>
      <c r="AE80" s="13">
        <f t="shared" si="139"/>
        <v>1862</v>
      </c>
      <c r="AG80" s="28" t="str">
        <f>"6x750ml C"</f>
        <v>6x750ml C</v>
      </c>
    </row>
    <row r="81" spans="1:33" x14ac:dyDescent="0.25">
      <c r="A81" s="10" t="e">
        <f>IF(#REF!=0,"Hide","Show")</f>
        <v>#REF!</v>
      </c>
      <c r="B81" s="32" t="str">
        <f>"Domaine Chanson"</f>
        <v>Domaine Chanson</v>
      </c>
      <c r="C81" s="33" t="str">
        <f>"Beaune Greves 1er Cru"</f>
        <v>Beaune Greves 1er Cru</v>
      </c>
      <c r="D81" s="34">
        <v>6</v>
      </c>
      <c r="E81" s="34">
        <v>750</v>
      </c>
      <c r="F81" s="34" t="str">
        <f>"2015"</f>
        <v>2015</v>
      </c>
      <c r="G81" s="34" t="str">
        <f>"Red"</f>
        <v>Red</v>
      </c>
      <c r="H81" s="35" t="str">
        <f>"BEAUNE 1ER"</f>
        <v>BEAUNE 1ER</v>
      </c>
      <c r="I81" s="35" t="str">
        <f>"PINOT NOIR"</f>
        <v>PINOT NOIR</v>
      </c>
      <c r="J81" s="13" t="s">
        <v>72</v>
      </c>
      <c r="K81" s="13" t="str">
        <f>VLOOKUP(B81,Sheet1!$A:$D,2,FALSE)</f>
        <v>Yes</v>
      </c>
      <c r="L81" s="13" t="str">
        <f>VLOOKUP(B81,Sheet1!$A:$D,3,FALSE)</f>
        <v>No</v>
      </c>
      <c r="M81" s="13" t="str">
        <f>VLOOKUP(B81,Sheet1!$A:$D,4,FALSE)</f>
        <v>No</v>
      </c>
      <c r="N81" s="9">
        <v>13.5</v>
      </c>
      <c r="O81" s="13" t="str">
        <f t="shared" ref="O81:O82" si="155">IF(LEN(Q81)=12,"UPC",IF(LEN(Q81)&gt;12,"EAN",""))</f>
        <v>EAN</v>
      </c>
      <c r="P81" s="13" t="str">
        <f t="shared" ref="P81:P82" si="156">IF(ISNUMBER(SEARCH("Gift",AG81)),"Gift Box","")</f>
        <v/>
      </c>
      <c r="Q81" s="36" t="str">
        <f>"3342832490107"</f>
        <v>3342832490107</v>
      </c>
      <c r="R81" s="36"/>
      <c r="S81" s="22">
        <v>3.23</v>
      </c>
      <c r="T81" s="22">
        <v>11.9</v>
      </c>
      <c r="U81" s="22">
        <v>3.1666700000000003</v>
      </c>
      <c r="V81" s="22">
        <v>20</v>
      </c>
      <c r="W81" s="22">
        <v>12</v>
      </c>
      <c r="X81" s="22">
        <v>4</v>
      </c>
      <c r="Y81" s="13">
        <v>19</v>
      </c>
      <c r="Z81" s="22">
        <f t="shared" ref="Z81:Z82" si="157">IF(V81&gt;0,(V81*W81*X81)/1728,"")</f>
        <v>0.55555555555555558</v>
      </c>
      <c r="AA81" s="13">
        <v>14</v>
      </c>
      <c r="AB81" s="13">
        <v>7</v>
      </c>
      <c r="AC81" s="13">
        <v>98</v>
      </c>
      <c r="AD81" s="13">
        <f t="shared" ref="AD81:AD82" si="158">IF(AB81&gt;0,AB81*X81,"")</f>
        <v>28</v>
      </c>
      <c r="AE81" s="13">
        <f t="shared" ref="AE81:AE82" si="159">IF(Y81&gt;0,Y81*(AA81*AB81),"")</f>
        <v>1862</v>
      </c>
      <c r="AG81" s="28" t="str">
        <f>"6x750ml C"</f>
        <v>6x750ml C</v>
      </c>
    </row>
    <row r="82" spans="1:33" x14ac:dyDescent="0.25">
      <c r="A82" s="10" t="e">
        <f>IF(#REF!=0,"Hide","Show")</f>
        <v>#REF!</v>
      </c>
      <c r="B82" s="32" t="str">
        <f>"Domaine Chanson"</f>
        <v>Domaine Chanson</v>
      </c>
      <c r="C82" s="33" t="str">
        <f>"Beaune Greves 1er Cru"</f>
        <v>Beaune Greves 1er Cru</v>
      </c>
      <c r="D82" s="34">
        <v>6</v>
      </c>
      <c r="E82" s="34">
        <v>750</v>
      </c>
      <c r="F82" s="34" t="str">
        <f>"2016"</f>
        <v>2016</v>
      </c>
      <c r="G82" s="34" t="str">
        <f>"Red"</f>
        <v>Red</v>
      </c>
      <c r="H82" s="35" t="str">
        <f>"BEAUNE 1ER"</f>
        <v>BEAUNE 1ER</v>
      </c>
      <c r="I82" s="35" t="str">
        <f>"PINOT NOIR"</f>
        <v>PINOT NOIR</v>
      </c>
      <c r="J82" s="13" t="s">
        <v>72</v>
      </c>
      <c r="K82" s="13" t="str">
        <f>VLOOKUP(B82,Sheet1!$A:$D,2,FALSE)</f>
        <v>Yes</v>
      </c>
      <c r="L82" s="13" t="str">
        <f>VLOOKUP(B82,Sheet1!$A:$D,3,FALSE)</f>
        <v>No</v>
      </c>
      <c r="M82" s="13" t="str">
        <f>VLOOKUP(B82,Sheet1!$A:$D,4,FALSE)</f>
        <v>No</v>
      </c>
      <c r="N82" s="9">
        <v>13</v>
      </c>
      <c r="O82" s="13" t="str">
        <f t="shared" si="155"/>
        <v>EAN</v>
      </c>
      <c r="P82" s="13" t="str">
        <f t="shared" si="156"/>
        <v/>
      </c>
      <c r="Q82" s="36" t="str">
        <f>"3342832490107"</f>
        <v>3342832490107</v>
      </c>
      <c r="R82" s="36"/>
      <c r="S82" s="22">
        <v>3.23</v>
      </c>
      <c r="T82" s="22">
        <v>11.9</v>
      </c>
      <c r="U82" s="22">
        <v>3.1666700000000003</v>
      </c>
      <c r="V82" s="22">
        <v>20</v>
      </c>
      <c r="W82" s="22">
        <v>12</v>
      </c>
      <c r="X82" s="22">
        <v>4</v>
      </c>
      <c r="Y82" s="13">
        <v>19</v>
      </c>
      <c r="Z82" s="22">
        <f t="shared" si="157"/>
        <v>0.55555555555555558</v>
      </c>
      <c r="AA82" s="13">
        <v>14</v>
      </c>
      <c r="AB82" s="13">
        <v>7</v>
      </c>
      <c r="AC82" s="13">
        <v>98</v>
      </c>
      <c r="AD82" s="13">
        <f t="shared" si="158"/>
        <v>28</v>
      </c>
      <c r="AE82" s="13">
        <f t="shared" si="159"/>
        <v>1862</v>
      </c>
      <c r="AG82" s="28" t="str">
        <f>"6x750ml C"</f>
        <v>6x750ml C</v>
      </c>
    </row>
    <row r="83" spans="1:33" x14ac:dyDescent="0.25">
      <c r="A83" s="10" t="e">
        <f>IF(#REF!=0,"Hide","Show")</f>
        <v>#REF!</v>
      </c>
      <c r="B83" s="32" t="s">
        <v>46</v>
      </c>
      <c r="C83" s="33" t="s">
        <v>116</v>
      </c>
      <c r="D83" s="34">
        <v>6</v>
      </c>
      <c r="E83" s="34">
        <v>750</v>
      </c>
      <c r="F83" s="34" t="s">
        <v>96</v>
      </c>
      <c r="G83" s="34" t="s">
        <v>103</v>
      </c>
      <c r="H83" s="35" t="s">
        <v>110</v>
      </c>
      <c r="I83" s="35" t="s">
        <v>111</v>
      </c>
      <c r="J83" s="13" t="s">
        <v>72</v>
      </c>
      <c r="K83" s="13" t="str">
        <f>VLOOKUP(B83,Sheet1!$A:$D,2,FALSE)</f>
        <v>Yes</v>
      </c>
      <c r="L83" s="13" t="str">
        <f>VLOOKUP(B83,Sheet1!$A:$D,3,FALSE)</f>
        <v>No</v>
      </c>
      <c r="M83" s="13" t="str">
        <f>VLOOKUP(B83,Sheet1!$A:$D,4,FALSE)</f>
        <v>No</v>
      </c>
      <c r="N83" s="9">
        <v>13.5</v>
      </c>
      <c r="O83" s="13" t="str">
        <f t="shared" si="135"/>
        <v>EAN</v>
      </c>
      <c r="P83" s="13" t="str">
        <f t="shared" si="136"/>
        <v/>
      </c>
      <c r="Q83" s="36" t="s">
        <v>115</v>
      </c>
      <c r="R83" s="36" t="s">
        <v>22</v>
      </c>
      <c r="S83" s="22">
        <v>3.23</v>
      </c>
      <c r="T83" s="22">
        <v>11.9</v>
      </c>
      <c r="U83" s="22">
        <v>3.1666700000000003</v>
      </c>
      <c r="V83" s="22">
        <v>20</v>
      </c>
      <c r="W83" s="22">
        <v>12</v>
      </c>
      <c r="X83" s="22">
        <v>4</v>
      </c>
      <c r="Y83" s="13">
        <v>19</v>
      </c>
      <c r="Z83" s="22">
        <f t="shared" si="137"/>
        <v>0.55555555555555558</v>
      </c>
      <c r="AA83" s="13">
        <v>14</v>
      </c>
      <c r="AB83" s="13">
        <v>7</v>
      </c>
      <c r="AC83" s="13">
        <v>98</v>
      </c>
      <c r="AD83" s="13">
        <f t="shared" si="138"/>
        <v>28</v>
      </c>
      <c r="AE83" s="13">
        <f t="shared" si="139"/>
        <v>1862</v>
      </c>
      <c r="AG83" s="28" t="s">
        <v>73</v>
      </c>
    </row>
    <row r="84" spans="1:33" x14ac:dyDescent="0.25">
      <c r="A84" s="10" t="e">
        <f>IF(#REF!=0,"Hide","Show")</f>
        <v>#REF!</v>
      </c>
      <c r="B84" s="32" t="str">
        <f>"Domaine Chanson"</f>
        <v>Domaine Chanson</v>
      </c>
      <c r="C84" s="33" t="str">
        <f>"Pernand-Vergelesses 1er Cru Les Vergelesses"</f>
        <v>Pernand-Vergelesses 1er Cru Les Vergelesses</v>
      </c>
      <c r="D84" s="34">
        <v>6</v>
      </c>
      <c r="E84" s="34">
        <v>750</v>
      </c>
      <c r="F84" s="34" t="str">
        <f>"2013"</f>
        <v>2013</v>
      </c>
      <c r="G84" s="34" t="str">
        <f>"Red"</f>
        <v>Red</v>
      </c>
      <c r="H84" s="35" t="str">
        <f>"BEAUNE"</f>
        <v>BEAUNE</v>
      </c>
      <c r="I84" s="35" t="str">
        <f>"PINOT NOIR"</f>
        <v>PINOT NOIR</v>
      </c>
      <c r="J84" s="13" t="s">
        <v>72</v>
      </c>
      <c r="K84" s="13" t="str">
        <f>VLOOKUP(B84,Sheet1!$A:$D,2,FALSE)</f>
        <v>Yes</v>
      </c>
      <c r="L84" s="13" t="str">
        <f>VLOOKUP(B84,Sheet1!$A:$D,3,FALSE)</f>
        <v>No</v>
      </c>
      <c r="M84" s="13" t="str">
        <f>VLOOKUP(B84,Sheet1!$A:$D,4,FALSE)</f>
        <v>No</v>
      </c>
      <c r="N84" s="9">
        <v>13</v>
      </c>
      <c r="O84" s="13" t="str">
        <f t="shared" si="135"/>
        <v>EAN</v>
      </c>
      <c r="P84" s="13" t="str">
        <f t="shared" si="136"/>
        <v/>
      </c>
      <c r="Q84" s="36" t="str">
        <f>"3342833040103"</f>
        <v>3342833040103</v>
      </c>
      <c r="R84" s="36"/>
      <c r="S84" s="22">
        <v>3.23</v>
      </c>
      <c r="T84" s="22">
        <v>11.9</v>
      </c>
      <c r="U84" s="22">
        <v>3.1666700000000003</v>
      </c>
      <c r="V84" s="22">
        <v>20</v>
      </c>
      <c r="W84" s="22">
        <v>12</v>
      </c>
      <c r="X84" s="22">
        <v>4</v>
      </c>
      <c r="Y84" s="13">
        <v>19</v>
      </c>
      <c r="Z84" s="22">
        <f t="shared" si="137"/>
        <v>0.55555555555555558</v>
      </c>
      <c r="AA84" s="13">
        <v>14</v>
      </c>
      <c r="AB84" s="13">
        <v>7</v>
      </c>
      <c r="AC84" s="13">
        <v>98</v>
      </c>
      <c r="AD84" s="13">
        <f t="shared" si="138"/>
        <v>28</v>
      </c>
      <c r="AE84" s="13">
        <f t="shared" si="139"/>
        <v>1862</v>
      </c>
      <c r="AG84" s="28" t="str">
        <f>"6x750ml C"</f>
        <v>6x750ml C</v>
      </c>
    </row>
    <row r="85" spans="1:33" x14ac:dyDescent="0.25">
      <c r="A85" s="10" t="e">
        <f>IF(#REF!=0,"Hide","Show")</f>
        <v>#REF!</v>
      </c>
      <c r="B85" s="32" t="str">
        <f>"Domaine Chanson"</f>
        <v>Domaine Chanson</v>
      </c>
      <c r="C85" s="33" t="str">
        <f>"Pernand-Vergelesses 1er Cru Les Vergelesses"</f>
        <v>Pernand-Vergelesses 1er Cru Les Vergelesses</v>
      </c>
      <c r="D85" s="34">
        <v>6</v>
      </c>
      <c r="E85" s="34">
        <v>750</v>
      </c>
      <c r="F85" s="34" t="str">
        <f>"2015"</f>
        <v>2015</v>
      </c>
      <c r="G85" s="34" t="str">
        <f>"Red"</f>
        <v>Red</v>
      </c>
      <c r="H85" s="35" t="str">
        <f>"BEAUNE"</f>
        <v>BEAUNE</v>
      </c>
      <c r="I85" s="35" t="str">
        <f>"PINOT NOIR"</f>
        <v>PINOT NOIR</v>
      </c>
      <c r="J85" s="13" t="s">
        <v>72</v>
      </c>
      <c r="K85" s="13" t="str">
        <f>VLOOKUP(B85,Sheet1!$A:$D,2,FALSE)</f>
        <v>Yes</v>
      </c>
      <c r="L85" s="13" t="str">
        <f>VLOOKUP(B85,Sheet1!$A:$D,3,FALSE)</f>
        <v>No</v>
      </c>
      <c r="M85" s="13" t="str">
        <f>VLOOKUP(B85,Sheet1!$A:$D,4,FALSE)</f>
        <v>No</v>
      </c>
      <c r="N85" s="9">
        <v>13.5</v>
      </c>
      <c r="O85" s="13" t="str">
        <f t="shared" ref="O85:O86" si="160">IF(LEN(Q85)=12,"UPC",IF(LEN(Q85)&gt;12,"EAN",""))</f>
        <v>EAN</v>
      </c>
      <c r="P85" s="13" t="str">
        <f t="shared" ref="P85:P86" si="161">IF(ISNUMBER(SEARCH("Gift",AG85)),"Gift Box","")</f>
        <v/>
      </c>
      <c r="Q85" s="36" t="str">
        <f>"3342833040103"</f>
        <v>3342833040103</v>
      </c>
      <c r="R85" s="36"/>
      <c r="S85" s="22">
        <v>3.23</v>
      </c>
      <c r="T85" s="22">
        <v>11.9</v>
      </c>
      <c r="U85" s="22">
        <v>3.1666700000000003</v>
      </c>
      <c r="V85" s="22">
        <v>20</v>
      </c>
      <c r="W85" s="22">
        <v>12</v>
      </c>
      <c r="X85" s="22">
        <v>4</v>
      </c>
      <c r="Y85" s="13">
        <v>19</v>
      </c>
      <c r="Z85" s="22">
        <f t="shared" ref="Z85:Z86" si="162">IF(V85&gt;0,(V85*W85*X85)/1728,"")</f>
        <v>0.55555555555555558</v>
      </c>
      <c r="AA85" s="13">
        <v>14</v>
      </c>
      <c r="AB85" s="13">
        <v>7</v>
      </c>
      <c r="AC85" s="13">
        <v>98</v>
      </c>
      <c r="AD85" s="13">
        <f t="shared" ref="AD85:AD86" si="163">IF(AB85&gt;0,AB85*X85,"")</f>
        <v>28</v>
      </c>
      <c r="AE85" s="13">
        <f t="shared" ref="AE85:AE86" si="164">IF(Y85&gt;0,Y85*(AA85*AB85),"")</f>
        <v>1862</v>
      </c>
      <c r="AG85" s="28" t="str">
        <f>"6x750ml C"</f>
        <v>6x750ml C</v>
      </c>
    </row>
    <row r="86" spans="1:33" x14ac:dyDescent="0.25">
      <c r="A86" s="10" t="e">
        <f>IF(#REF!=0,"Hide","Show")</f>
        <v>#REF!</v>
      </c>
      <c r="B86" s="32" t="str">
        <f>"Domaine Chanson"</f>
        <v>Domaine Chanson</v>
      </c>
      <c r="C86" s="33" t="str">
        <f>"Pernand-Vergelesses 1er Cru Les Vergelesses"</f>
        <v>Pernand-Vergelesses 1er Cru Les Vergelesses</v>
      </c>
      <c r="D86" s="34">
        <v>6</v>
      </c>
      <c r="E86" s="34">
        <v>750</v>
      </c>
      <c r="F86" s="34" t="str">
        <f>"2016"</f>
        <v>2016</v>
      </c>
      <c r="G86" s="34" t="str">
        <f>"Red"</f>
        <v>Red</v>
      </c>
      <c r="H86" s="35" t="str">
        <f>"BEAUNE"</f>
        <v>BEAUNE</v>
      </c>
      <c r="I86" s="35" t="str">
        <f>"PINOT NOIR"</f>
        <v>PINOT NOIR</v>
      </c>
      <c r="J86" s="13" t="s">
        <v>72</v>
      </c>
      <c r="K86" s="13" t="str">
        <f>VLOOKUP(B86,Sheet1!$A:$D,2,FALSE)</f>
        <v>Yes</v>
      </c>
      <c r="L86" s="13" t="str">
        <f>VLOOKUP(B86,Sheet1!$A:$D,3,FALSE)</f>
        <v>No</v>
      </c>
      <c r="M86" s="13" t="str">
        <f>VLOOKUP(B86,Sheet1!$A:$D,4,FALSE)</f>
        <v>No</v>
      </c>
      <c r="N86" s="9">
        <v>13.5</v>
      </c>
      <c r="O86" s="13" t="str">
        <f t="shared" si="160"/>
        <v>EAN</v>
      </c>
      <c r="P86" s="13" t="str">
        <f t="shared" si="161"/>
        <v/>
      </c>
      <c r="Q86" s="36" t="str">
        <f>"3342833040103"</f>
        <v>3342833040103</v>
      </c>
      <c r="R86" s="36"/>
      <c r="S86" s="22">
        <v>3.23</v>
      </c>
      <c r="T86" s="22">
        <v>11.9</v>
      </c>
      <c r="U86" s="22">
        <v>3.1666700000000003</v>
      </c>
      <c r="V86" s="22">
        <v>20</v>
      </c>
      <c r="W86" s="22">
        <v>12</v>
      </c>
      <c r="X86" s="22">
        <v>4</v>
      </c>
      <c r="Y86" s="13">
        <v>19</v>
      </c>
      <c r="Z86" s="22">
        <f t="shared" si="162"/>
        <v>0.55555555555555558</v>
      </c>
      <c r="AA86" s="13">
        <v>14</v>
      </c>
      <c r="AB86" s="13">
        <v>7</v>
      </c>
      <c r="AC86" s="13">
        <v>98</v>
      </c>
      <c r="AD86" s="13">
        <f t="shared" si="163"/>
        <v>28</v>
      </c>
      <c r="AE86" s="13">
        <f t="shared" si="164"/>
        <v>1862</v>
      </c>
      <c r="AG86" s="28" t="str">
        <f>"6x750ml C"</f>
        <v>6x750ml C</v>
      </c>
    </row>
    <row r="87" spans="1:33" x14ac:dyDescent="0.25">
      <c r="A87" s="10" t="e">
        <f>IF(#REF!=0,"Hide","Show")</f>
        <v>#REF!</v>
      </c>
      <c r="B87" s="32" t="s">
        <v>46</v>
      </c>
      <c r="C87" s="33" t="s">
        <v>114</v>
      </c>
      <c r="D87" s="34">
        <v>6</v>
      </c>
      <c r="E87" s="34">
        <v>750</v>
      </c>
      <c r="F87" s="34" t="s">
        <v>96</v>
      </c>
      <c r="G87" s="34" t="s">
        <v>103</v>
      </c>
      <c r="H87" s="35" t="s">
        <v>106</v>
      </c>
      <c r="I87" s="35" t="s">
        <v>111</v>
      </c>
      <c r="J87" s="13" t="s">
        <v>72</v>
      </c>
      <c r="K87" s="13" t="str">
        <f>VLOOKUP(B87,Sheet1!$A:$D,2,FALSE)</f>
        <v>Yes</v>
      </c>
      <c r="L87" s="13" t="str">
        <f>VLOOKUP(B87,Sheet1!$A:$D,3,FALSE)</f>
        <v>No</v>
      </c>
      <c r="M87" s="13" t="str">
        <f>VLOOKUP(B87,Sheet1!$A:$D,4,FALSE)</f>
        <v>No</v>
      </c>
      <c r="N87" s="9">
        <v>12.5</v>
      </c>
      <c r="O87" s="13" t="str">
        <f t="shared" si="135"/>
        <v>EAN</v>
      </c>
      <c r="P87" s="13" t="str">
        <f t="shared" si="136"/>
        <v/>
      </c>
      <c r="Q87" s="36" t="s">
        <v>113</v>
      </c>
      <c r="R87" s="36" t="s">
        <v>22</v>
      </c>
      <c r="S87" s="22">
        <v>3.23</v>
      </c>
      <c r="T87" s="22">
        <v>11.9</v>
      </c>
      <c r="U87" s="22">
        <v>3.1666700000000003</v>
      </c>
      <c r="V87" s="22">
        <v>20</v>
      </c>
      <c r="W87" s="22">
        <v>12</v>
      </c>
      <c r="X87" s="22">
        <v>4</v>
      </c>
      <c r="Y87" s="13">
        <v>19</v>
      </c>
      <c r="Z87" s="22">
        <f t="shared" si="137"/>
        <v>0.55555555555555558</v>
      </c>
      <c r="AA87" s="13">
        <v>14</v>
      </c>
      <c r="AB87" s="13">
        <v>7</v>
      </c>
      <c r="AC87" s="13">
        <v>98</v>
      </c>
      <c r="AD87" s="13">
        <f t="shared" si="138"/>
        <v>28</v>
      </c>
      <c r="AE87" s="13">
        <f t="shared" si="139"/>
        <v>1862</v>
      </c>
      <c r="AG87" s="28" t="s">
        <v>73</v>
      </c>
    </row>
    <row r="88" spans="1:33" x14ac:dyDescent="0.25">
      <c r="A88" s="10" t="e">
        <f>IF(#REF!=0,"Hide","Show")</f>
        <v>#REF!</v>
      </c>
      <c r="B88" s="32" t="str">
        <f>"Domaine Chanson"</f>
        <v>Domaine Chanson</v>
      </c>
      <c r="C88" s="33" t="str">
        <f>"Savigny-Dominode 1er Cru"</f>
        <v>Savigny-Dominode 1er Cru</v>
      </c>
      <c r="D88" s="34">
        <v>6</v>
      </c>
      <c r="E88" s="34">
        <v>750</v>
      </c>
      <c r="F88" s="34" t="str">
        <f>"2011"</f>
        <v>2011</v>
      </c>
      <c r="G88" s="34" t="str">
        <f>"Red"</f>
        <v>Red</v>
      </c>
      <c r="H88" s="35" t="str">
        <f>"SAVIGNY"</f>
        <v>SAVIGNY</v>
      </c>
      <c r="I88" s="35" t="str">
        <f>"PINOT NOIR"</f>
        <v>PINOT NOIR</v>
      </c>
      <c r="J88" s="13" t="s">
        <v>72</v>
      </c>
      <c r="K88" s="13" t="str">
        <f>VLOOKUP(B88,Sheet1!$A:$D,2,FALSE)</f>
        <v>Yes</v>
      </c>
      <c r="L88" s="13" t="str">
        <f>VLOOKUP(B88,Sheet1!$A:$D,3,FALSE)</f>
        <v>No</v>
      </c>
      <c r="M88" s="13" t="str">
        <f>VLOOKUP(B88,Sheet1!$A:$D,4,FALSE)</f>
        <v>No</v>
      </c>
      <c r="N88" s="9">
        <v>13.5</v>
      </c>
      <c r="O88" s="13" t="str">
        <f t="shared" si="135"/>
        <v>UPC</v>
      </c>
      <c r="P88" s="13" t="str">
        <f t="shared" si="136"/>
        <v/>
      </c>
      <c r="Q88" s="36" t="str">
        <f>"086891074542"</f>
        <v>086891074542</v>
      </c>
      <c r="R88" s="36"/>
      <c r="S88" s="22">
        <v>3.23</v>
      </c>
      <c r="T88" s="22">
        <v>11.9</v>
      </c>
      <c r="U88" s="22">
        <v>3.1666700000000003</v>
      </c>
      <c r="V88" s="22">
        <v>20</v>
      </c>
      <c r="W88" s="22">
        <v>12</v>
      </c>
      <c r="X88" s="22">
        <v>4</v>
      </c>
      <c r="Y88" s="13">
        <v>19</v>
      </c>
      <c r="Z88" s="22">
        <f t="shared" si="137"/>
        <v>0.55555555555555558</v>
      </c>
      <c r="AA88" s="13">
        <v>14</v>
      </c>
      <c r="AB88" s="13">
        <v>7</v>
      </c>
      <c r="AC88" s="13">
        <v>98</v>
      </c>
      <c r="AD88" s="13">
        <f t="shared" si="138"/>
        <v>28</v>
      </c>
      <c r="AE88" s="13">
        <f t="shared" si="139"/>
        <v>1862</v>
      </c>
      <c r="AG88" s="28" t="str">
        <f>"6x750ml C"</f>
        <v>6x750ml C</v>
      </c>
    </row>
    <row r="89" spans="1:33" x14ac:dyDescent="0.25">
      <c r="A89" s="10" t="e">
        <f>IF(#REF!=0,"Hide","Show")</f>
        <v>#REF!</v>
      </c>
      <c r="B89" s="32" t="str">
        <f>"Domaine Chanson"</f>
        <v>Domaine Chanson</v>
      </c>
      <c r="C89" s="33" t="str">
        <f>"Savigny-Dominode 1er Cru"</f>
        <v>Savigny-Dominode 1er Cru</v>
      </c>
      <c r="D89" s="34">
        <v>6</v>
      </c>
      <c r="E89" s="34">
        <v>750</v>
      </c>
      <c r="F89" s="34" t="str">
        <f>"2013"</f>
        <v>2013</v>
      </c>
      <c r="G89" s="34" t="str">
        <f>"Red"</f>
        <v>Red</v>
      </c>
      <c r="H89" s="35" t="str">
        <f>"BEAUNE"</f>
        <v>BEAUNE</v>
      </c>
      <c r="I89" s="35" t="str">
        <f>"PINOT NOIR"</f>
        <v>PINOT NOIR</v>
      </c>
      <c r="J89" s="13" t="s">
        <v>72</v>
      </c>
      <c r="K89" s="13" t="str">
        <f>VLOOKUP(B89,Sheet1!$A:$D,2,FALSE)</f>
        <v>Yes</v>
      </c>
      <c r="L89" s="13" t="str">
        <f>VLOOKUP(B89,Sheet1!$A:$D,3,FALSE)</f>
        <v>No</v>
      </c>
      <c r="M89" s="13" t="str">
        <f>VLOOKUP(B89,Sheet1!$A:$D,4,FALSE)</f>
        <v>No</v>
      </c>
      <c r="N89" s="9">
        <v>12.5</v>
      </c>
      <c r="O89" s="13" t="str">
        <f t="shared" ref="O89:O91" si="165">IF(LEN(Q89)=12,"UPC",IF(LEN(Q89)&gt;12,"EAN",""))</f>
        <v>EAN</v>
      </c>
      <c r="P89" s="13" t="str">
        <f t="shared" ref="P89:P91" si="166">IF(ISNUMBER(SEARCH("Gift",AG89)),"Gift Box","")</f>
        <v/>
      </c>
      <c r="Q89" s="36" t="str">
        <f>"3342832840100"</f>
        <v>3342832840100</v>
      </c>
      <c r="R89" s="36"/>
      <c r="S89" s="22">
        <v>3.23</v>
      </c>
      <c r="T89" s="22">
        <v>11.9</v>
      </c>
      <c r="U89" s="22">
        <v>3.1666700000000003</v>
      </c>
      <c r="V89" s="22">
        <v>20</v>
      </c>
      <c r="W89" s="22">
        <v>12</v>
      </c>
      <c r="X89" s="22">
        <v>4</v>
      </c>
      <c r="Y89" s="13">
        <v>19</v>
      </c>
      <c r="Z89" s="22">
        <f t="shared" ref="Z89:Z91" si="167">IF(V89&gt;0,(V89*W89*X89)/1728,"")</f>
        <v>0.55555555555555558</v>
      </c>
      <c r="AA89" s="13">
        <v>14</v>
      </c>
      <c r="AB89" s="13">
        <v>7</v>
      </c>
      <c r="AC89" s="13">
        <v>98</v>
      </c>
      <c r="AD89" s="13">
        <f t="shared" ref="AD89:AD91" si="168">IF(AB89&gt;0,AB89*X89,"")</f>
        <v>28</v>
      </c>
      <c r="AE89" s="13">
        <f t="shared" ref="AE89:AE91" si="169">IF(Y89&gt;0,Y89*(AA89*AB89),"")</f>
        <v>1862</v>
      </c>
      <c r="AG89" s="28" t="str">
        <f>"6x750ml C"</f>
        <v>6x750ml C</v>
      </c>
    </row>
    <row r="90" spans="1:33" x14ac:dyDescent="0.25">
      <c r="A90" s="10" t="e">
        <f>IF(#REF!=0,"Hide","Show")</f>
        <v>#REF!</v>
      </c>
      <c r="B90" s="32" t="str">
        <f>"Domaine Chanson"</f>
        <v>Domaine Chanson</v>
      </c>
      <c r="C90" s="33" t="str">
        <f>"Savigny-Dominode 1er Cru"</f>
        <v>Savigny-Dominode 1er Cru</v>
      </c>
      <c r="D90" s="34">
        <v>6</v>
      </c>
      <c r="E90" s="34">
        <v>750</v>
      </c>
      <c r="F90" s="34" t="str">
        <f>"2015"</f>
        <v>2015</v>
      </c>
      <c r="G90" s="34" t="str">
        <f>"Red"</f>
        <v>Red</v>
      </c>
      <c r="H90" s="35" t="str">
        <f>"BEAUNE"</f>
        <v>BEAUNE</v>
      </c>
      <c r="I90" s="35" t="str">
        <f>"PINOT NOIR"</f>
        <v>PINOT NOIR</v>
      </c>
      <c r="J90" s="13" t="s">
        <v>72</v>
      </c>
      <c r="K90" s="13" t="str">
        <f>VLOOKUP(B90,Sheet1!$A:$D,2,FALSE)</f>
        <v>Yes</v>
      </c>
      <c r="L90" s="13" t="str">
        <f>VLOOKUP(B90,Sheet1!$A:$D,3,FALSE)</f>
        <v>No</v>
      </c>
      <c r="M90" s="13" t="str">
        <f>VLOOKUP(B90,Sheet1!$A:$D,4,FALSE)</f>
        <v>No</v>
      </c>
      <c r="N90" s="9">
        <v>13</v>
      </c>
      <c r="O90" s="13" t="str">
        <f t="shared" si="165"/>
        <v>EAN</v>
      </c>
      <c r="P90" s="13" t="str">
        <f t="shared" si="166"/>
        <v/>
      </c>
      <c r="Q90" s="36" t="str">
        <f>"3342832840100"</f>
        <v>3342832840100</v>
      </c>
      <c r="R90" s="36"/>
      <c r="S90" s="22">
        <v>3.23</v>
      </c>
      <c r="T90" s="22">
        <v>11.9</v>
      </c>
      <c r="U90" s="22">
        <v>3.1666700000000003</v>
      </c>
      <c r="V90" s="22">
        <v>20</v>
      </c>
      <c r="W90" s="22">
        <v>12</v>
      </c>
      <c r="X90" s="22">
        <v>4</v>
      </c>
      <c r="Y90" s="13">
        <v>19</v>
      </c>
      <c r="Z90" s="22">
        <f t="shared" si="167"/>
        <v>0.55555555555555558</v>
      </c>
      <c r="AA90" s="13">
        <v>14</v>
      </c>
      <c r="AB90" s="13">
        <v>7</v>
      </c>
      <c r="AC90" s="13">
        <v>98</v>
      </c>
      <c r="AD90" s="13">
        <f t="shared" si="168"/>
        <v>28</v>
      </c>
      <c r="AE90" s="13">
        <f t="shared" si="169"/>
        <v>1862</v>
      </c>
      <c r="AG90" s="28" t="str">
        <f>"6x750ml C"</f>
        <v>6x750ml C</v>
      </c>
    </row>
    <row r="91" spans="1:33" x14ac:dyDescent="0.25">
      <c r="A91" s="10" t="e">
        <f>IF(#REF!=0,"Hide","Show")</f>
        <v>#REF!</v>
      </c>
      <c r="B91" s="32" t="str">
        <f>"Domaine Chanson"</f>
        <v>Domaine Chanson</v>
      </c>
      <c r="C91" s="33" t="str">
        <f>"Savigny-Dominode 1er Cru"</f>
        <v>Savigny-Dominode 1er Cru</v>
      </c>
      <c r="D91" s="34">
        <v>6</v>
      </c>
      <c r="E91" s="34">
        <v>750</v>
      </c>
      <c r="F91" s="34" t="str">
        <f>"2016"</f>
        <v>2016</v>
      </c>
      <c r="G91" s="34" t="str">
        <f>"Red"</f>
        <v>Red</v>
      </c>
      <c r="H91" s="35" t="str">
        <f>"BEAUNE"</f>
        <v>BEAUNE</v>
      </c>
      <c r="I91" s="35" t="str">
        <f>"PINOT NOIR"</f>
        <v>PINOT NOIR</v>
      </c>
      <c r="J91" s="13" t="s">
        <v>72</v>
      </c>
      <c r="K91" s="13" t="str">
        <f>VLOOKUP(B91,Sheet1!$A:$D,2,FALSE)</f>
        <v>Yes</v>
      </c>
      <c r="L91" s="13" t="str">
        <f>VLOOKUP(B91,Sheet1!$A:$D,3,FALSE)</f>
        <v>No</v>
      </c>
      <c r="M91" s="13" t="str">
        <f>VLOOKUP(B91,Sheet1!$A:$D,4,FALSE)</f>
        <v>No</v>
      </c>
      <c r="N91" s="9">
        <v>13.5</v>
      </c>
      <c r="O91" s="13" t="str">
        <f t="shared" si="165"/>
        <v>EAN</v>
      </c>
      <c r="P91" s="13" t="str">
        <f t="shared" si="166"/>
        <v/>
      </c>
      <c r="Q91" s="36" t="str">
        <f>"3342832840100"</f>
        <v>3342832840100</v>
      </c>
      <c r="R91" s="36"/>
      <c r="S91" s="22">
        <v>3.23</v>
      </c>
      <c r="T91" s="22">
        <v>11.9</v>
      </c>
      <c r="U91" s="22">
        <v>3.1666700000000003</v>
      </c>
      <c r="V91" s="22">
        <v>20</v>
      </c>
      <c r="W91" s="22">
        <v>12</v>
      </c>
      <c r="X91" s="22">
        <v>4</v>
      </c>
      <c r="Y91" s="13">
        <v>19</v>
      </c>
      <c r="Z91" s="22">
        <f t="shared" si="167"/>
        <v>0.55555555555555558</v>
      </c>
      <c r="AA91" s="13">
        <v>14</v>
      </c>
      <c r="AB91" s="13">
        <v>7</v>
      </c>
      <c r="AC91" s="13">
        <v>98</v>
      </c>
      <c r="AD91" s="13">
        <f t="shared" si="168"/>
        <v>28</v>
      </c>
      <c r="AE91" s="13">
        <f t="shared" si="169"/>
        <v>1862</v>
      </c>
      <c r="AG91" s="28" t="str">
        <f>"6x750ml C"</f>
        <v>6x750ml C</v>
      </c>
    </row>
    <row r="92" spans="1:33" ht="6" customHeight="1" x14ac:dyDescent="0.25">
      <c r="B92" s="15"/>
      <c r="C92" s="12"/>
      <c r="D92" s="12"/>
      <c r="E92" s="12"/>
      <c r="F92" s="19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24"/>
      <c r="T92" s="24"/>
      <c r="U92" s="24"/>
      <c r="V92" s="24"/>
      <c r="W92" s="24"/>
      <c r="X92" s="24"/>
      <c r="Y92" s="12"/>
      <c r="Z92" s="12"/>
      <c r="AA92" s="12"/>
      <c r="AB92" s="12"/>
      <c r="AC92" s="12"/>
      <c r="AD92" s="12"/>
      <c r="AE92" s="12"/>
      <c r="AG92" s="27"/>
    </row>
    <row r="93" spans="1:33" x14ac:dyDescent="0.25">
      <c r="B93" s="21" t="str">
        <f>"BEAUNE RED GRAND CRU"</f>
        <v>BEAUNE RED GRAND CRU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23"/>
      <c r="T93" s="23"/>
      <c r="U93" s="23"/>
      <c r="V93" s="23"/>
      <c r="W93" s="23"/>
      <c r="X93" s="23"/>
      <c r="Y93" s="11"/>
      <c r="Z93" s="11"/>
      <c r="AA93" s="11"/>
      <c r="AB93" s="11"/>
      <c r="AC93" s="11"/>
      <c r="AD93" s="11"/>
      <c r="AE93" s="11"/>
      <c r="AG93" s="28"/>
    </row>
    <row r="94" spans="1:33" x14ac:dyDescent="0.25">
      <c r="A94" s="10" t="e">
        <f>IF(#REF!=0,"Hide","Show")</f>
        <v>#REF!</v>
      </c>
      <c r="B94" s="32" t="s">
        <v>46</v>
      </c>
      <c r="C94" s="33" t="s">
        <v>92</v>
      </c>
      <c r="D94" s="34">
        <v>6</v>
      </c>
      <c r="E94" s="34">
        <v>750</v>
      </c>
      <c r="F94" s="34" t="s">
        <v>96</v>
      </c>
      <c r="G94" s="34" t="s">
        <v>103</v>
      </c>
      <c r="H94" s="35" t="s">
        <v>104</v>
      </c>
      <c r="I94" s="35" t="s">
        <v>111</v>
      </c>
      <c r="J94" s="13" t="s">
        <v>72</v>
      </c>
      <c r="K94" s="13" t="str">
        <f>VLOOKUP(B94,Sheet1!$A:$D,2,FALSE)</f>
        <v>Yes</v>
      </c>
      <c r="L94" s="13" t="str">
        <f>VLOOKUP(B94,Sheet1!$A:$D,3,FALSE)</f>
        <v>No</v>
      </c>
      <c r="M94" s="13" t="str">
        <f>VLOOKUP(B94,Sheet1!$A:$D,4,FALSE)</f>
        <v>No</v>
      </c>
      <c r="N94" s="9">
        <v>12.5</v>
      </c>
      <c r="O94" s="13" t="str">
        <f t="shared" ref="O94" si="170">IF(LEN(Q94)=12,"UPC",IF(LEN(Q94)&gt;12,"EAN",""))</f>
        <v>EAN</v>
      </c>
      <c r="P94" s="13" t="str">
        <f t="shared" ref="P94" si="171">IF(ISNUMBER(SEARCH("Gift",AG94)),"Gift Box","")</f>
        <v/>
      </c>
      <c r="Q94" s="36" t="s">
        <v>82</v>
      </c>
      <c r="R94" s="36" t="s">
        <v>22</v>
      </c>
      <c r="S94" s="22">
        <v>3.23</v>
      </c>
      <c r="T94" s="22">
        <v>11.9</v>
      </c>
      <c r="U94" s="22">
        <v>3.8333299999999997</v>
      </c>
      <c r="V94" s="22">
        <v>12</v>
      </c>
      <c r="W94" s="22">
        <v>11</v>
      </c>
      <c r="X94" s="22">
        <v>7</v>
      </c>
      <c r="Y94" s="13">
        <v>23</v>
      </c>
      <c r="Z94" s="22">
        <f t="shared" ref="Z94" si="172">IF(V94&gt;0,(V94*W94*X94)/1728,"")</f>
        <v>0.53472222222222221</v>
      </c>
      <c r="AA94" s="13">
        <v>12</v>
      </c>
      <c r="AB94" s="13">
        <v>7</v>
      </c>
      <c r="AC94" s="13">
        <v>84</v>
      </c>
      <c r="AD94" s="13">
        <f t="shared" ref="AD94" si="173">IF(AB94&gt;0,AB94*X94,"")</f>
        <v>49</v>
      </c>
      <c r="AE94" s="13">
        <f t="shared" ref="AE94" si="174">IF(Y94&gt;0,Y94*(AA94*AB94),"")</f>
        <v>1932</v>
      </c>
      <c r="AG94" s="28" t="s">
        <v>74</v>
      </c>
    </row>
    <row r="95" spans="1:33" ht="6" customHeight="1" x14ac:dyDescent="0.25">
      <c r="B95" s="15"/>
      <c r="C95" s="12"/>
      <c r="D95" s="12"/>
      <c r="E95" s="12"/>
      <c r="F95" s="19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24"/>
      <c r="T95" s="24"/>
      <c r="U95" s="24"/>
      <c r="V95" s="24"/>
      <c r="W95" s="24"/>
      <c r="X95" s="24"/>
      <c r="Y95" s="12"/>
      <c r="Z95" s="12"/>
      <c r="AA95" s="12"/>
      <c r="AB95" s="12"/>
      <c r="AC95" s="12"/>
      <c r="AD95" s="12"/>
      <c r="AE95" s="12"/>
      <c r="AG95" s="27"/>
    </row>
    <row r="96" spans="1:33" x14ac:dyDescent="0.25">
      <c r="B96" s="21" t="str">
        <f>"NUITS RED VILLAGE"</f>
        <v>NUITS RED VILLAGE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23"/>
      <c r="T96" s="23"/>
      <c r="U96" s="23"/>
      <c r="V96" s="23"/>
      <c r="W96" s="23"/>
      <c r="X96" s="23"/>
      <c r="Y96" s="11"/>
      <c r="Z96" s="11"/>
      <c r="AA96" s="11"/>
      <c r="AB96" s="11"/>
      <c r="AC96" s="11"/>
      <c r="AD96" s="11"/>
      <c r="AE96" s="11"/>
      <c r="AG96" s="28"/>
    </row>
    <row r="97" spans="1:33" x14ac:dyDescent="0.25">
      <c r="A97" s="10" t="e">
        <f>IF(#REF!=0,"Hide","Show")</f>
        <v>#REF!</v>
      </c>
      <c r="B97" s="32" t="s">
        <v>46</v>
      </c>
      <c r="C97" s="33" t="s">
        <v>93</v>
      </c>
      <c r="D97" s="34">
        <v>6</v>
      </c>
      <c r="E97" s="34">
        <v>750</v>
      </c>
      <c r="F97" s="34" t="s">
        <v>97</v>
      </c>
      <c r="G97" s="34" t="s">
        <v>103</v>
      </c>
      <c r="H97" s="35" t="s">
        <v>105</v>
      </c>
      <c r="I97" s="35" t="s">
        <v>111</v>
      </c>
      <c r="J97" s="13" t="s">
        <v>72</v>
      </c>
      <c r="K97" s="13" t="str">
        <f>VLOOKUP(B97,Sheet1!$A:$D,2,FALSE)</f>
        <v>Yes</v>
      </c>
      <c r="L97" s="13" t="str">
        <f>VLOOKUP(B97,Sheet1!$A:$D,3,FALSE)</f>
        <v>No</v>
      </c>
      <c r="M97" s="13" t="str">
        <f>VLOOKUP(B97,Sheet1!$A:$D,4,FALSE)</f>
        <v>No</v>
      </c>
      <c r="N97" s="9">
        <v>13.5</v>
      </c>
      <c r="O97" s="13" t="str">
        <f t="shared" ref="O97" si="175">IF(LEN(Q97)=12,"UPC",IF(LEN(Q97)&gt;12,"EAN",""))</f>
        <v>EAN</v>
      </c>
      <c r="P97" s="13" t="str">
        <f t="shared" ref="P97" si="176">IF(ISNUMBER(SEARCH("Gift",AG97)),"Gift Box","")</f>
        <v/>
      </c>
      <c r="Q97" s="36" t="s">
        <v>83</v>
      </c>
      <c r="R97" s="36" t="s">
        <v>22</v>
      </c>
      <c r="S97" s="22">
        <v>3.23</v>
      </c>
      <c r="T97" s="22">
        <v>11.9</v>
      </c>
      <c r="U97" s="22">
        <v>3.1666700000000003</v>
      </c>
      <c r="V97" s="22">
        <v>12</v>
      </c>
      <c r="W97" s="22">
        <v>11</v>
      </c>
      <c r="X97" s="22">
        <v>7</v>
      </c>
      <c r="Y97" s="13">
        <v>19</v>
      </c>
      <c r="Z97" s="22">
        <f t="shared" ref="Z97" si="177">IF(V97&gt;0,(V97*W97*X97)/1728,"")</f>
        <v>0.53472222222222221</v>
      </c>
      <c r="AA97" s="13">
        <v>7</v>
      </c>
      <c r="AB97" s="13">
        <v>7</v>
      </c>
      <c r="AC97" s="13">
        <v>49</v>
      </c>
      <c r="AD97" s="13">
        <f t="shared" ref="AD97" si="178">IF(AB97&gt;0,AB97*X97,"")</f>
        <v>49</v>
      </c>
      <c r="AE97" s="13">
        <f t="shared" ref="AE97" si="179">IF(Y97&gt;0,Y97*(AA97*AB97),"")</f>
        <v>931</v>
      </c>
      <c r="AG97" s="28" t="s">
        <v>73</v>
      </c>
    </row>
    <row r="98" spans="1:33" x14ac:dyDescent="0.25">
      <c r="A98" s="10" t="e">
        <f>IF(#REF!=0,"Hide","Show")</f>
        <v>#REF!</v>
      </c>
      <c r="B98" s="32" t="s">
        <v>46</v>
      </c>
      <c r="C98" s="33" t="s">
        <v>93</v>
      </c>
      <c r="D98" s="34">
        <v>6</v>
      </c>
      <c r="E98" s="34">
        <v>750</v>
      </c>
      <c r="F98" s="34" t="s">
        <v>96</v>
      </c>
      <c r="G98" s="34" t="s">
        <v>103</v>
      </c>
      <c r="H98" s="35" t="s">
        <v>105</v>
      </c>
      <c r="I98" s="35" t="s">
        <v>111</v>
      </c>
      <c r="J98" s="13" t="s">
        <v>72</v>
      </c>
      <c r="K98" s="13" t="str">
        <f>VLOOKUP(B98,Sheet1!$A:$D,2,FALSE)</f>
        <v>Yes</v>
      </c>
      <c r="L98" s="13" t="str">
        <f>VLOOKUP(B98,Sheet1!$A:$D,3,FALSE)</f>
        <v>No</v>
      </c>
      <c r="M98" s="13" t="str">
        <f>VLOOKUP(B98,Sheet1!$A:$D,4,FALSE)</f>
        <v>No</v>
      </c>
      <c r="N98" s="9">
        <v>13</v>
      </c>
      <c r="O98" s="13" t="str">
        <f t="shared" ref="O98" si="180">IF(LEN(Q98)=12,"UPC",IF(LEN(Q98)&gt;12,"EAN",""))</f>
        <v>EAN</v>
      </c>
      <c r="P98" s="13" t="str">
        <f t="shared" ref="P98" si="181">IF(ISNUMBER(SEARCH("Gift",AG98)),"Gift Box","")</f>
        <v/>
      </c>
      <c r="Q98" s="36" t="s">
        <v>83</v>
      </c>
      <c r="R98" s="36" t="s">
        <v>22</v>
      </c>
      <c r="S98" s="22">
        <v>3.23</v>
      </c>
      <c r="T98" s="22">
        <v>11.9</v>
      </c>
      <c r="U98" s="22">
        <v>3.1666700000000003</v>
      </c>
      <c r="V98" s="22">
        <v>12</v>
      </c>
      <c r="W98" s="22">
        <v>11</v>
      </c>
      <c r="X98" s="22">
        <v>7</v>
      </c>
      <c r="Y98" s="13">
        <v>19</v>
      </c>
      <c r="Z98" s="22">
        <f t="shared" ref="Z98" si="182">IF(V98&gt;0,(V98*W98*X98)/1728,"")</f>
        <v>0.53472222222222221</v>
      </c>
      <c r="AA98" s="13">
        <v>7</v>
      </c>
      <c r="AB98" s="13">
        <v>7</v>
      </c>
      <c r="AC98" s="13">
        <v>49</v>
      </c>
      <c r="AD98" s="13">
        <f t="shared" ref="AD98" si="183">IF(AB98&gt;0,AB98*X98,"")</f>
        <v>49</v>
      </c>
      <c r="AE98" s="13">
        <f t="shared" ref="AE98" si="184">IF(Y98&gt;0,Y98*(AA98*AB98),"")</f>
        <v>931</v>
      </c>
      <c r="AG98" s="28" t="s">
        <v>73</v>
      </c>
    </row>
    <row r="99" spans="1:33" x14ac:dyDescent="0.25">
      <c r="A99" s="10" t="e">
        <f>IF(#REF!=0,"Hide","Show")</f>
        <v>#REF!</v>
      </c>
      <c r="B99" s="32" t="s">
        <v>46</v>
      </c>
      <c r="C99" s="33" t="s">
        <v>94</v>
      </c>
      <c r="D99" s="34">
        <v>12</v>
      </c>
      <c r="E99" s="34">
        <v>750</v>
      </c>
      <c r="F99" s="34" t="s">
        <v>98</v>
      </c>
      <c r="G99" s="34" t="s">
        <v>103</v>
      </c>
      <c r="H99" s="35" t="s">
        <v>106</v>
      </c>
      <c r="I99" s="35" t="s">
        <v>111</v>
      </c>
      <c r="J99" s="13" t="s">
        <v>72</v>
      </c>
      <c r="K99" s="13" t="str">
        <f>VLOOKUP(B99,Sheet1!$A:$D,2,FALSE)</f>
        <v>Yes</v>
      </c>
      <c r="L99" s="13" t="str">
        <f>VLOOKUP(B99,Sheet1!$A:$D,3,FALSE)</f>
        <v>No</v>
      </c>
      <c r="M99" s="13" t="str">
        <f>VLOOKUP(B99,Sheet1!$A:$D,4,FALSE)</f>
        <v>No</v>
      </c>
      <c r="N99" s="9">
        <v>12.8</v>
      </c>
      <c r="O99" s="13" t="str">
        <f t="shared" ref="O99:O108" si="185">IF(LEN(Q99)=12,"UPC",IF(LEN(Q99)&gt;12,"EAN",""))</f>
        <v>EAN</v>
      </c>
      <c r="P99" s="13" t="str">
        <f t="shared" ref="P99:P108" si="186">IF(ISNUMBER(SEARCH("Gift",AG99)),"Gift Box","")</f>
        <v/>
      </c>
      <c r="Q99" s="36" t="s">
        <v>84</v>
      </c>
      <c r="R99" s="36" t="s">
        <v>22</v>
      </c>
      <c r="S99" s="22">
        <v>3.23</v>
      </c>
      <c r="T99" s="22">
        <v>11.9</v>
      </c>
      <c r="U99" s="22">
        <v>3.08</v>
      </c>
      <c r="V99" s="22">
        <v>20</v>
      </c>
      <c r="W99" s="22">
        <v>12</v>
      </c>
      <c r="X99" s="22">
        <v>7</v>
      </c>
      <c r="Y99" s="13">
        <v>37</v>
      </c>
      <c r="Z99" s="22">
        <f t="shared" ref="Z99:Z108" si="187">IF(V99&gt;0,(V99*W99*X99)/1728,"")</f>
        <v>0.97222222222222221</v>
      </c>
      <c r="AA99" s="13">
        <v>7</v>
      </c>
      <c r="AB99" s="13">
        <v>7</v>
      </c>
      <c r="AC99" s="13">
        <v>49</v>
      </c>
      <c r="AD99" s="13">
        <f t="shared" ref="AD99:AD108" si="188">IF(AB99&gt;0,AB99*X99,"")</f>
        <v>49</v>
      </c>
      <c r="AE99" s="13">
        <f t="shared" ref="AE99:AE108" si="189">IF(Y99&gt;0,Y99*(AA99*AB99),"")</f>
        <v>1813</v>
      </c>
      <c r="AG99" s="28" t="s">
        <v>112</v>
      </c>
    </row>
    <row r="100" spans="1:33" x14ac:dyDescent="0.25">
      <c r="A100" s="10" t="e">
        <f>IF(#REF!=0,"Hide","Show")</f>
        <v>#REF!</v>
      </c>
      <c r="B100" s="32" t="s">
        <v>46</v>
      </c>
      <c r="C100" s="33" t="s">
        <v>95</v>
      </c>
      <c r="D100" s="34">
        <v>6</v>
      </c>
      <c r="E100" s="34">
        <v>750</v>
      </c>
      <c r="F100" s="34" t="s">
        <v>96</v>
      </c>
      <c r="G100" s="34" t="s">
        <v>103</v>
      </c>
      <c r="H100" s="35" t="s">
        <v>105</v>
      </c>
      <c r="I100" s="35" t="s">
        <v>111</v>
      </c>
      <c r="J100" s="13" t="s">
        <v>72</v>
      </c>
      <c r="K100" s="13" t="str">
        <f>VLOOKUP(B100,Sheet1!$A:$D,2,FALSE)</f>
        <v>Yes</v>
      </c>
      <c r="L100" s="13" t="str">
        <f>VLOOKUP(B100,Sheet1!$A:$D,3,FALSE)</f>
        <v>No</v>
      </c>
      <c r="M100" s="13" t="str">
        <f>VLOOKUP(B100,Sheet1!$A:$D,4,FALSE)</f>
        <v>No</v>
      </c>
      <c r="N100" s="9">
        <v>13.5</v>
      </c>
      <c r="O100" s="13" t="str">
        <f t="shared" si="185"/>
        <v>EAN</v>
      </c>
      <c r="P100" s="13" t="str">
        <f t="shared" si="186"/>
        <v/>
      </c>
      <c r="Q100" s="36" t="s">
        <v>85</v>
      </c>
      <c r="R100" s="36" t="s">
        <v>22</v>
      </c>
      <c r="S100" s="22">
        <v>3.23</v>
      </c>
      <c r="T100" s="22">
        <v>11.9</v>
      </c>
      <c r="U100" s="22">
        <v>3.1666700000000003</v>
      </c>
      <c r="V100" s="22">
        <v>12</v>
      </c>
      <c r="W100" s="22">
        <v>11</v>
      </c>
      <c r="X100" s="22">
        <v>7</v>
      </c>
      <c r="Y100" s="13">
        <v>19</v>
      </c>
      <c r="Z100" s="22">
        <f t="shared" si="187"/>
        <v>0.53472222222222221</v>
      </c>
      <c r="AA100" s="13">
        <v>7</v>
      </c>
      <c r="AB100" s="13">
        <v>7</v>
      </c>
      <c r="AC100" s="13">
        <v>49</v>
      </c>
      <c r="AD100" s="13">
        <f t="shared" si="188"/>
        <v>49</v>
      </c>
      <c r="AE100" s="13">
        <f t="shared" si="189"/>
        <v>931</v>
      </c>
      <c r="AG100" s="28" t="s">
        <v>73</v>
      </c>
    </row>
    <row r="101" spans="1:33" x14ac:dyDescent="0.25">
      <c r="A101" s="10" t="e">
        <f>IF(#REF!=0,"Hide","Show")</f>
        <v>#REF!</v>
      </c>
      <c r="B101" s="32" t="str">
        <f>"Domaine Chanson"</f>
        <v>Domaine Chanson</v>
      </c>
      <c r="C101" s="33" t="str">
        <f>"Gevrey-Chambertin"</f>
        <v>Gevrey-Chambertin</v>
      </c>
      <c r="D101" s="34">
        <v>6</v>
      </c>
      <c r="E101" s="34">
        <v>750</v>
      </c>
      <c r="F101" s="34" t="str">
        <f>"2011"</f>
        <v>2011</v>
      </c>
      <c r="G101" s="34" t="str">
        <f>"Red"</f>
        <v>Red</v>
      </c>
      <c r="H101" s="35" t="str">
        <f>"GEVREY-CHAMB 1ER"</f>
        <v>GEVREY-CHAMB 1ER</v>
      </c>
      <c r="I101" s="35" t="str">
        <f>"PINOT NOIR"</f>
        <v>PINOT NOIR</v>
      </c>
      <c r="J101" s="13" t="s">
        <v>72</v>
      </c>
      <c r="K101" s="13" t="str">
        <f>VLOOKUP(B101,Sheet1!$A:$D,2,FALSE)</f>
        <v>Yes</v>
      </c>
      <c r="L101" s="13" t="str">
        <f>VLOOKUP(B101,Sheet1!$A:$D,3,FALSE)</f>
        <v>No</v>
      </c>
      <c r="M101" s="13" t="str">
        <f>VLOOKUP(B101,Sheet1!$A:$D,4,FALSE)</f>
        <v>No</v>
      </c>
      <c r="N101" s="9">
        <v>13</v>
      </c>
      <c r="O101" s="13" t="str">
        <f t="shared" si="185"/>
        <v>UPC</v>
      </c>
      <c r="P101" s="13" t="str">
        <f t="shared" si="186"/>
        <v/>
      </c>
      <c r="Q101" s="36" t="str">
        <f>"086891074559"</f>
        <v>086891074559</v>
      </c>
      <c r="R101" s="36"/>
      <c r="S101" s="22">
        <v>3.23</v>
      </c>
      <c r="T101" s="22">
        <v>11.9</v>
      </c>
      <c r="U101" s="22">
        <v>3.08</v>
      </c>
      <c r="V101" s="22">
        <v>12</v>
      </c>
      <c r="W101" s="22">
        <v>11</v>
      </c>
      <c r="X101" s="22">
        <v>7</v>
      </c>
      <c r="Y101" s="13">
        <v>0</v>
      </c>
      <c r="Z101" s="22">
        <f t="shared" si="187"/>
        <v>0.53472222222222221</v>
      </c>
      <c r="AA101" s="13">
        <v>7</v>
      </c>
      <c r="AB101" s="13">
        <v>7</v>
      </c>
      <c r="AC101" s="13">
        <v>49</v>
      </c>
      <c r="AD101" s="13">
        <f t="shared" si="188"/>
        <v>49</v>
      </c>
      <c r="AE101" s="13" t="str">
        <f t="shared" si="189"/>
        <v/>
      </c>
      <c r="AG101" s="28" t="str">
        <f>"6x750ml C"</f>
        <v>6x750ml C</v>
      </c>
    </row>
    <row r="102" spans="1:33" x14ac:dyDescent="0.25">
      <c r="A102" s="10" t="e">
        <f>IF(#REF!=0,"Hide","Show")</f>
        <v>#REF!</v>
      </c>
      <c r="B102" s="32" t="str">
        <f>"Domaine Chanson"</f>
        <v>Domaine Chanson</v>
      </c>
      <c r="C102" s="33" t="str">
        <f>"Gevrey-Chambertin"</f>
        <v>Gevrey-Chambertin</v>
      </c>
      <c r="D102" s="34">
        <v>12</v>
      </c>
      <c r="E102" s="34">
        <v>750</v>
      </c>
      <c r="F102" s="34" t="str">
        <f>"2015"</f>
        <v>2015</v>
      </c>
      <c r="G102" s="34" t="str">
        <f>"Red"</f>
        <v>Red</v>
      </c>
      <c r="H102" s="35" t="str">
        <f>"GEVREY-CHAMB 1ER"</f>
        <v>GEVREY-CHAMB 1ER</v>
      </c>
      <c r="I102" s="35" t="str">
        <f>"PINOT NOIR"</f>
        <v>PINOT NOIR</v>
      </c>
      <c r="J102" s="13" t="s">
        <v>72</v>
      </c>
      <c r="K102" s="13" t="str">
        <f>VLOOKUP(B102,Sheet1!$A:$D,2,FALSE)</f>
        <v>Yes</v>
      </c>
      <c r="L102" s="13" t="str">
        <f>VLOOKUP(B102,Sheet1!$A:$D,3,FALSE)</f>
        <v>No</v>
      </c>
      <c r="M102" s="13" t="str">
        <f>VLOOKUP(B102,Sheet1!$A:$D,4,FALSE)</f>
        <v>No</v>
      </c>
      <c r="N102" s="9">
        <v>13</v>
      </c>
      <c r="O102" s="13" t="str">
        <f t="shared" ref="O102:O103" si="190">IF(LEN(Q102)=12,"UPC",IF(LEN(Q102)&gt;12,"EAN",""))</f>
        <v>EAN</v>
      </c>
      <c r="P102" s="13" t="str">
        <f t="shared" ref="P102:P103" si="191">IF(ISNUMBER(SEARCH("Gift",AG102)),"Gift Box","")</f>
        <v/>
      </c>
      <c r="Q102" s="36" t="str">
        <f>"3342837200107"</f>
        <v>3342837200107</v>
      </c>
      <c r="R102" s="36"/>
      <c r="S102" s="22">
        <v>3.23</v>
      </c>
      <c r="T102" s="22">
        <v>11.9</v>
      </c>
      <c r="U102" s="22">
        <v>3.08</v>
      </c>
      <c r="V102" s="22">
        <v>20</v>
      </c>
      <c r="W102" s="22">
        <v>12</v>
      </c>
      <c r="X102" s="22">
        <v>7</v>
      </c>
      <c r="Y102" s="13">
        <v>37</v>
      </c>
      <c r="Z102" s="22">
        <f t="shared" ref="Z102:Z103" si="192">IF(V102&gt;0,(V102*W102*X102)/1728,"")</f>
        <v>0.97222222222222221</v>
      </c>
      <c r="AA102" s="13">
        <v>7</v>
      </c>
      <c r="AB102" s="13">
        <v>7</v>
      </c>
      <c r="AC102" s="13">
        <v>49</v>
      </c>
      <c r="AD102" s="13">
        <f t="shared" ref="AD102:AD103" si="193">IF(AB102&gt;0,AB102*X102,"")</f>
        <v>49</v>
      </c>
      <c r="AE102" s="13">
        <f t="shared" ref="AE102:AE103" si="194">IF(Y102&gt;0,Y102*(AA102*AB102),"")</f>
        <v>1813</v>
      </c>
      <c r="AG102" s="28" t="str">
        <f>"12x750ml C"</f>
        <v>12x750ml C</v>
      </c>
    </row>
    <row r="103" spans="1:33" x14ac:dyDescent="0.25">
      <c r="A103" s="10" t="e">
        <f>IF(#REF!=0,"Hide","Show")</f>
        <v>#REF!</v>
      </c>
      <c r="B103" s="32" t="str">
        <f>"Domaine Chanson"</f>
        <v>Domaine Chanson</v>
      </c>
      <c r="C103" s="33" t="str">
        <f>"Gevrey-Chambertin"</f>
        <v>Gevrey-Chambertin</v>
      </c>
      <c r="D103" s="34">
        <v>12</v>
      </c>
      <c r="E103" s="34">
        <v>750</v>
      </c>
      <c r="F103" s="34" t="str">
        <f>"2016"</f>
        <v>2016</v>
      </c>
      <c r="G103" s="34" t="str">
        <f>"Red"</f>
        <v>Red</v>
      </c>
      <c r="H103" s="35" t="str">
        <f>"GEVREY-CHAMB 1ER"</f>
        <v>GEVREY-CHAMB 1ER</v>
      </c>
      <c r="I103" s="35" t="str">
        <f>"PINOT NOIR"</f>
        <v>PINOT NOIR</v>
      </c>
      <c r="J103" s="13" t="s">
        <v>72</v>
      </c>
      <c r="K103" s="13" t="str">
        <f>VLOOKUP(B103,Sheet1!$A:$D,2,FALSE)</f>
        <v>Yes</v>
      </c>
      <c r="L103" s="13" t="str">
        <f>VLOOKUP(B103,Sheet1!$A:$D,3,FALSE)</f>
        <v>No</v>
      </c>
      <c r="M103" s="13" t="str">
        <f>VLOOKUP(B103,Sheet1!$A:$D,4,FALSE)</f>
        <v>No</v>
      </c>
      <c r="N103" s="9">
        <v>13</v>
      </c>
      <c r="O103" s="13" t="str">
        <f t="shared" si="190"/>
        <v>EAN</v>
      </c>
      <c r="P103" s="13" t="str">
        <f t="shared" si="191"/>
        <v/>
      </c>
      <c r="Q103" s="36" t="str">
        <f>"3342837200107"</f>
        <v>3342837200107</v>
      </c>
      <c r="R103" s="36"/>
      <c r="S103" s="22">
        <v>3.23</v>
      </c>
      <c r="T103" s="22">
        <v>11.9</v>
      </c>
      <c r="U103" s="22">
        <v>3.08</v>
      </c>
      <c r="V103" s="22">
        <v>20</v>
      </c>
      <c r="W103" s="22">
        <v>12</v>
      </c>
      <c r="X103" s="22">
        <v>7</v>
      </c>
      <c r="Y103" s="13">
        <v>37</v>
      </c>
      <c r="Z103" s="22">
        <f t="shared" si="192"/>
        <v>0.97222222222222221</v>
      </c>
      <c r="AA103" s="13">
        <v>7</v>
      </c>
      <c r="AB103" s="13">
        <v>7</v>
      </c>
      <c r="AC103" s="13">
        <v>49</v>
      </c>
      <c r="AD103" s="13">
        <f t="shared" si="193"/>
        <v>49</v>
      </c>
      <c r="AE103" s="13">
        <f t="shared" si="194"/>
        <v>1813</v>
      </c>
      <c r="AG103" s="28" t="str">
        <f>"12x750ml C"</f>
        <v>12x750ml C</v>
      </c>
    </row>
    <row r="104" spans="1:33" x14ac:dyDescent="0.25">
      <c r="A104" s="10" t="e">
        <f>IF(#REF!=0,"Hide","Show")</f>
        <v>#REF!</v>
      </c>
      <c r="B104" s="32" t="s">
        <v>46</v>
      </c>
      <c r="C104" s="33" t="s">
        <v>75</v>
      </c>
      <c r="D104" s="34">
        <v>6</v>
      </c>
      <c r="E104" s="34">
        <v>750</v>
      </c>
      <c r="F104" s="34" t="s">
        <v>97</v>
      </c>
      <c r="G104" s="34" t="s">
        <v>103</v>
      </c>
      <c r="H104" s="35" t="s">
        <v>105</v>
      </c>
      <c r="I104" s="35" t="s">
        <v>111</v>
      </c>
      <c r="J104" s="13" t="s">
        <v>72</v>
      </c>
      <c r="K104" s="13" t="str">
        <f>VLOOKUP(B104,Sheet1!$A:$D,2,FALSE)</f>
        <v>Yes</v>
      </c>
      <c r="L104" s="13" t="str">
        <f>VLOOKUP(B104,Sheet1!$A:$D,3,FALSE)</f>
        <v>No</v>
      </c>
      <c r="M104" s="13" t="str">
        <f>VLOOKUP(B104,Sheet1!$A:$D,4,FALSE)</f>
        <v>No</v>
      </c>
      <c r="N104" s="9">
        <v>13</v>
      </c>
      <c r="O104" s="13" t="str">
        <f t="shared" si="185"/>
        <v>EAN</v>
      </c>
      <c r="P104" s="13" t="str">
        <f t="shared" si="186"/>
        <v/>
      </c>
      <c r="Q104" s="36" t="s">
        <v>86</v>
      </c>
      <c r="R104" s="36" t="s">
        <v>22</v>
      </c>
      <c r="S104" s="22">
        <v>3.23</v>
      </c>
      <c r="T104" s="22">
        <v>11.9</v>
      </c>
      <c r="U104" s="22">
        <v>3.17</v>
      </c>
      <c r="V104" s="22">
        <v>12</v>
      </c>
      <c r="W104" s="22">
        <v>11</v>
      </c>
      <c r="X104" s="22">
        <v>7</v>
      </c>
      <c r="Y104" s="13">
        <v>19</v>
      </c>
      <c r="Z104" s="22">
        <f t="shared" si="187"/>
        <v>0.53472222222222221</v>
      </c>
      <c r="AA104" s="13">
        <v>7</v>
      </c>
      <c r="AB104" s="13">
        <v>7</v>
      </c>
      <c r="AC104" s="13">
        <v>49</v>
      </c>
      <c r="AD104" s="13">
        <f t="shared" si="188"/>
        <v>49</v>
      </c>
      <c r="AE104" s="13">
        <f t="shared" si="189"/>
        <v>931</v>
      </c>
      <c r="AG104" s="28" t="s">
        <v>73</v>
      </c>
    </row>
    <row r="105" spans="1:33" x14ac:dyDescent="0.25">
      <c r="A105" s="10" t="e">
        <f>IF(#REF!=0,"Hide","Show")</f>
        <v>#REF!</v>
      </c>
      <c r="B105" s="32" t="s">
        <v>46</v>
      </c>
      <c r="C105" s="33" t="s">
        <v>75</v>
      </c>
      <c r="D105" s="34">
        <v>6</v>
      </c>
      <c r="E105" s="34">
        <v>750</v>
      </c>
      <c r="F105" s="34" t="s">
        <v>96</v>
      </c>
      <c r="G105" s="34" t="s">
        <v>103</v>
      </c>
      <c r="H105" s="35" t="s">
        <v>105</v>
      </c>
      <c r="I105" s="35" t="s">
        <v>111</v>
      </c>
      <c r="J105" s="13" t="s">
        <v>72</v>
      </c>
      <c r="K105" s="13" t="str">
        <f>VLOOKUP(B105,Sheet1!$A:$D,2,FALSE)</f>
        <v>Yes</v>
      </c>
      <c r="L105" s="13" t="str">
        <f>VLOOKUP(B105,Sheet1!$A:$D,3,FALSE)</f>
        <v>No</v>
      </c>
      <c r="M105" s="13" t="str">
        <f>VLOOKUP(B105,Sheet1!$A:$D,4,FALSE)</f>
        <v>No</v>
      </c>
      <c r="N105" s="9">
        <v>13</v>
      </c>
      <c r="O105" s="13" t="str">
        <f t="shared" ref="O105" si="195">IF(LEN(Q105)=12,"UPC",IF(LEN(Q105)&gt;12,"EAN",""))</f>
        <v>EAN</v>
      </c>
      <c r="P105" s="13" t="str">
        <f t="shared" ref="P105" si="196">IF(ISNUMBER(SEARCH("Gift",AG105)),"Gift Box","")</f>
        <v/>
      </c>
      <c r="Q105" s="36" t="s">
        <v>86</v>
      </c>
      <c r="R105" s="36" t="s">
        <v>22</v>
      </c>
      <c r="S105" s="22">
        <v>3.23</v>
      </c>
      <c r="T105" s="22">
        <v>11.9</v>
      </c>
      <c r="U105" s="22">
        <v>3.17</v>
      </c>
      <c r="V105" s="22">
        <v>12</v>
      </c>
      <c r="W105" s="22">
        <v>11</v>
      </c>
      <c r="X105" s="22">
        <v>7</v>
      </c>
      <c r="Y105" s="13">
        <v>19</v>
      </c>
      <c r="Z105" s="22">
        <f t="shared" ref="Z105" si="197">IF(V105&gt;0,(V105*W105*X105)/1728,"")</f>
        <v>0.53472222222222221</v>
      </c>
      <c r="AA105" s="13">
        <v>7</v>
      </c>
      <c r="AB105" s="13">
        <v>7</v>
      </c>
      <c r="AC105" s="13">
        <v>49</v>
      </c>
      <c r="AD105" s="13">
        <f t="shared" ref="AD105" si="198">IF(AB105&gt;0,AB105*X105,"")</f>
        <v>49</v>
      </c>
      <c r="AE105" s="13">
        <f t="shared" ref="AE105" si="199">IF(Y105&gt;0,Y105*(AA105*AB105),"")</f>
        <v>931</v>
      </c>
      <c r="AG105" s="28" t="s">
        <v>73</v>
      </c>
    </row>
    <row r="106" spans="1:33" x14ac:dyDescent="0.25">
      <c r="A106" s="10" t="e">
        <f>IF(#REF!=0,"Hide","Show")</f>
        <v>#REF!</v>
      </c>
      <c r="B106" s="32" t="s">
        <v>46</v>
      </c>
      <c r="C106" s="33" t="s">
        <v>76</v>
      </c>
      <c r="D106" s="34">
        <v>6</v>
      </c>
      <c r="E106" s="34">
        <v>750</v>
      </c>
      <c r="F106" s="34" t="s">
        <v>99</v>
      </c>
      <c r="G106" s="34" t="s">
        <v>103</v>
      </c>
      <c r="H106" s="35" t="s">
        <v>107</v>
      </c>
      <c r="I106" s="35" t="s">
        <v>111</v>
      </c>
      <c r="J106" s="13" t="s">
        <v>72</v>
      </c>
      <c r="K106" s="13" t="str">
        <f>VLOOKUP(B106,Sheet1!$A:$D,2,FALSE)</f>
        <v>Yes</v>
      </c>
      <c r="L106" s="13" t="str">
        <f>VLOOKUP(B106,Sheet1!$A:$D,3,FALSE)</f>
        <v>No</v>
      </c>
      <c r="M106" s="13" t="str">
        <f>VLOOKUP(B106,Sheet1!$A:$D,4,FALSE)</f>
        <v>No</v>
      </c>
      <c r="N106" s="9">
        <v>13</v>
      </c>
      <c r="O106" s="13" t="str">
        <f t="shared" si="185"/>
        <v>UPC</v>
      </c>
      <c r="P106" s="13" t="str">
        <f t="shared" si="186"/>
        <v/>
      </c>
      <c r="Q106" s="36" t="s">
        <v>87</v>
      </c>
      <c r="R106" s="36" t="s">
        <v>22</v>
      </c>
      <c r="S106" s="22">
        <v>3.23</v>
      </c>
      <c r="T106" s="22">
        <v>11.9</v>
      </c>
      <c r="U106" s="22">
        <v>3.0833299999999997</v>
      </c>
      <c r="V106" s="22">
        <v>12</v>
      </c>
      <c r="W106" s="22">
        <v>11</v>
      </c>
      <c r="X106" s="22">
        <v>7</v>
      </c>
      <c r="Y106" s="13">
        <v>0</v>
      </c>
      <c r="Z106" s="22">
        <f t="shared" si="187"/>
        <v>0.53472222222222221</v>
      </c>
      <c r="AA106" s="13">
        <v>7</v>
      </c>
      <c r="AB106" s="13">
        <v>7</v>
      </c>
      <c r="AC106" s="13">
        <v>49</v>
      </c>
      <c r="AD106" s="13">
        <f t="shared" si="188"/>
        <v>49</v>
      </c>
      <c r="AE106" s="13" t="str">
        <f t="shared" si="189"/>
        <v/>
      </c>
      <c r="AG106" s="28" t="s">
        <v>73</v>
      </c>
    </row>
    <row r="107" spans="1:33" x14ac:dyDescent="0.25">
      <c r="A107" s="10" t="e">
        <f>IF(#REF!=0,"Hide","Show")</f>
        <v>#REF!</v>
      </c>
      <c r="B107" s="32" t="s">
        <v>46</v>
      </c>
      <c r="C107" s="33" t="s">
        <v>77</v>
      </c>
      <c r="D107" s="34">
        <v>6</v>
      </c>
      <c r="E107" s="34">
        <v>750</v>
      </c>
      <c r="F107" s="34" t="s">
        <v>97</v>
      </c>
      <c r="G107" s="34" t="s">
        <v>103</v>
      </c>
      <c r="H107" s="35" t="s">
        <v>105</v>
      </c>
      <c r="I107" s="35" t="s">
        <v>111</v>
      </c>
      <c r="J107" s="13" t="s">
        <v>72</v>
      </c>
      <c r="K107" s="13" t="str">
        <f>VLOOKUP(B107,Sheet1!$A:$D,2,FALSE)</f>
        <v>Yes</v>
      </c>
      <c r="L107" s="13" t="str">
        <f>VLOOKUP(B107,Sheet1!$A:$D,3,FALSE)</f>
        <v>No</v>
      </c>
      <c r="M107" s="13" t="str">
        <f>VLOOKUP(B107,Sheet1!$A:$D,4,FALSE)</f>
        <v>No</v>
      </c>
      <c r="N107" s="9">
        <v>13.5</v>
      </c>
      <c r="O107" s="13" t="str">
        <f t="shared" si="185"/>
        <v/>
      </c>
      <c r="P107" s="13" t="str">
        <f t="shared" si="186"/>
        <v/>
      </c>
      <c r="Q107" s="36" t="s">
        <v>22</v>
      </c>
      <c r="R107" s="36" t="s">
        <v>22</v>
      </c>
      <c r="S107" s="22">
        <v>3.23</v>
      </c>
      <c r="T107" s="22">
        <v>11.9</v>
      </c>
      <c r="U107" s="22">
        <v>3.17</v>
      </c>
      <c r="V107" s="22">
        <v>12</v>
      </c>
      <c r="W107" s="22">
        <v>11</v>
      </c>
      <c r="X107" s="22">
        <v>7</v>
      </c>
      <c r="Y107" s="13">
        <v>19</v>
      </c>
      <c r="Z107" s="22">
        <f t="shared" si="187"/>
        <v>0.53472222222222221</v>
      </c>
      <c r="AA107" s="13">
        <v>7</v>
      </c>
      <c r="AB107" s="13">
        <v>7</v>
      </c>
      <c r="AC107" s="13">
        <v>49</v>
      </c>
      <c r="AD107" s="13">
        <f t="shared" si="188"/>
        <v>49</v>
      </c>
      <c r="AE107" s="13">
        <f t="shared" si="189"/>
        <v>931</v>
      </c>
      <c r="AG107" s="28" t="s">
        <v>73</v>
      </c>
    </row>
    <row r="108" spans="1:33" x14ac:dyDescent="0.25">
      <c r="A108" s="10" t="e">
        <f>IF(#REF!=0,"Hide","Show")</f>
        <v>#REF!</v>
      </c>
      <c r="B108" s="32" t="s">
        <v>46</v>
      </c>
      <c r="C108" s="33" t="s">
        <v>78</v>
      </c>
      <c r="D108" s="34">
        <v>6</v>
      </c>
      <c r="E108" s="34">
        <v>750</v>
      </c>
      <c r="F108" s="34" t="s">
        <v>96</v>
      </c>
      <c r="G108" s="34" t="s">
        <v>103</v>
      </c>
      <c r="H108" s="35" t="s">
        <v>105</v>
      </c>
      <c r="I108" s="35" t="s">
        <v>111</v>
      </c>
      <c r="J108" s="13" t="s">
        <v>72</v>
      </c>
      <c r="K108" s="13" t="str">
        <f>VLOOKUP(B108,Sheet1!$A:$D,2,FALSE)</f>
        <v>Yes</v>
      </c>
      <c r="L108" s="13" t="str">
        <f>VLOOKUP(B108,Sheet1!$A:$D,3,FALSE)</f>
        <v>No</v>
      </c>
      <c r="M108" s="13" t="str">
        <f>VLOOKUP(B108,Sheet1!$A:$D,4,FALSE)</f>
        <v>No</v>
      </c>
      <c r="N108" s="9">
        <v>13</v>
      </c>
      <c r="O108" s="13" t="str">
        <f t="shared" si="185"/>
        <v>EAN</v>
      </c>
      <c r="P108" s="13" t="str">
        <f t="shared" si="186"/>
        <v/>
      </c>
      <c r="Q108" s="36" t="s">
        <v>88</v>
      </c>
      <c r="R108" s="36" t="s">
        <v>22</v>
      </c>
      <c r="S108" s="22">
        <v>3.23</v>
      </c>
      <c r="T108" s="22">
        <v>11.9</v>
      </c>
      <c r="U108" s="22">
        <v>3.17</v>
      </c>
      <c r="V108" s="22">
        <v>12</v>
      </c>
      <c r="W108" s="22">
        <v>11</v>
      </c>
      <c r="X108" s="22">
        <v>7</v>
      </c>
      <c r="Y108" s="13">
        <v>19</v>
      </c>
      <c r="Z108" s="22">
        <f t="shared" si="187"/>
        <v>0.53472222222222221</v>
      </c>
      <c r="AA108" s="13">
        <v>7</v>
      </c>
      <c r="AB108" s="13">
        <v>7</v>
      </c>
      <c r="AC108" s="13">
        <v>49</v>
      </c>
      <c r="AD108" s="13">
        <f t="shared" si="188"/>
        <v>49</v>
      </c>
      <c r="AE108" s="13">
        <f t="shared" si="189"/>
        <v>931</v>
      </c>
      <c r="AG108" s="28" t="s">
        <v>73</v>
      </c>
    </row>
    <row r="109" spans="1:33" ht="6" customHeight="1" x14ac:dyDescent="0.25">
      <c r="B109" s="15"/>
      <c r="C109" s="12"/>
      <c r="D109" s="12"/>
      <c r="E109" s="12"/>
      <c r="F109" s="19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24"/>
      <c r="T109" s="24"/>
      <c r="U109" s="24"/>
      <c r="V109" s="24"/>
      <c r="W109" s="24"/>
      <c r="X109" s="24"/>
      <c r="Y109" s="12"/>
      <c r="Z109" s="12"/>
      <c r="AA109" s="12"/>
      <c r="AB109" s="12"/>
      <c r="AC109" s="12"/>
      <c r="AD109" s="12"/>
      <c r="AE109" s="12"/>
      <c r="AG109" s="27"/>
    </row>
    <row r="110" spans="1:33" x14ac:dyDescent="0.25">
      <c r="B110" s="21" t="str">
        <f>"NUITS RED GRAND CRU"</f>
        <v>NUITS RED GRAND CRU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23"/>
      <c r="T110" s="23"/>
      <c r="U110" s="23"/>
      <c r="V110" s="23"/>
      <c r="W110" s="23"/>
      <c r="X110" s="23"/>
      <c r="Y110" s="11"/>
      <c r="Z110" s="11"/>
      <c r="AA110" s="11"/>
      <c r="AB110" s="11"/>
      <c r="AC110" s="11"/>
      <c r="AD110" s="11"/>
      <c r="AE110" s="11"/>
      <c r="AG110" s="28"/>
    </row>
    <row r="111" spans="1:33" x14ac:dyDescent="0.25">
      <c r="A111" s="10" t="e">
        <f>IF(#REF!=0,"Hide","Show")</f>
        <v>#REF!</v>
      </c>
      <c r="B111" s="32" t="s">
        <v>46</v>
      </c>
      <c r="C111" s="33" t="s">
        <v>79</v>
      </c>
      <c r="D111" s="34">
        <v>6</v>
      </c>
      <c r="E111" s="34">
        <v>750</v>
      </c>
      <c r="F111" s="34" t="s">
        <v>100</v>
      </c>
      <c r="G111" s="34" t="s">
        <v>103</v>
      </c>
      <c r="H111" s="35" t="s">
        <v>108</v>
      </c>
      <c r="I111" s="35" t="s">
        <v>111</v>
      </c>
      <c r="J111" s="13" t="s">
        <v>72</v>
      </c>
      <c r="K111" s="13" t="str">
        <f>VLOOKUP(B111,Sheet1!$A:$D,2,FALSE)</f>
        <v>Yes</v>
      </c>
      <c r="L111" s="13" t="str">
        <f>VLOOKUP(B111,Sheet1!$A:$D,3,FALSE)</f>
        <v>No</v>
      </c>
      <c r="M111" s="13" t="str">
        <f>VLOOKUP(B111,Sheet1!$A:$D,4,FALSE)</f>
        <v>No</v>
      </c>
      <c r="N111" s="9">
        <v>13.5</v>
      </c>
      <c r="O111" s="13" t="str">
        <f t="shared" ref="O111" si="200">IF(LEN(Q111)=12,"UPC",IF(LEN(Q111)&gt;12,"EAN",""))</f>
        <v>UPC</v>
      </c>
      <c r="P111" s="13" t="str">
        <f t="shared" ref="P111" si="201">IF(ISNUMBER(SEARCH("Gift",AG111)),"Gift Box","")</f>
        <v/>
      </c>
      <c r="Q111" s="36" t="s">
        <v>89</v>
      </c>
      <c r="R111" s="36" t="s">
        <v>22</v>
      </c>
      <c r="S111" s="22">
        <v>3.23</v>
      </c>
      <c r="T111" s="22">
        <v>11.9</v>
      </c>
      <c r="U111" s="22">
        <v>3.8</v>
      </c>
      <c r="V111" s="22">
        <v>12</v>
      </c>
      <c r="W111" s="22">
        <v>11</v>
      </c>
      <c r="X111" s="22">
        <v>7</v>
      </c>
      <c r="Y111" s="13">
        <v>23</v>
      </c>
      <c r="Z111" s="22">
        <f t="shared" ref="Z111" si="202">IF(V111&gt;0,(V111*W111*X111)/1728,"")</f>
        <v>0.53472222222222221</v>
      </c>
      <c r="AA111" s="13">
        <v>12</v>
      </c>
      <c r="AB111" s="13">
        <v>7</v>
      </c>
      <c r="AC111" s="13">
        <v>84</v>
      </c>
      <c r="AD111" s="13">
        <f t="shared" ref="AD111" si="203">IF(AB111&gt;0,AB111*X111,"")</f>
        <v>49</v>
      </c>
      <c r="AE111" s="13">
        <f t="shared" ref="AE111" si="204">IF(Y111&gt;0,Y111*(AA111*AB111),"")</f>
        <v>1932</v>
      </c>
      <c r="AG111" s="28" t="s">
        <v>74</v>
      </c>
    </row>
    <row r="112" spans="1:33" x14ac:dyDescent="0.25">
      <c r="A112" s="10" t="e">
        <f>IF(#REF!=0,"Hide","Show")</f>
        <v>#REF!</v>
      </c>
      <c r="B112" s="32" t="s">
        <v>46</v>
      </c>
      <c r="C112" s="33" t="s">
        <v>79</v>
      </c>
      <c r="D112" s="34">
        <v>6</v>
      </c>
      <c r="E112" s="34">
        <v>750</v>
      </c>
      <c r="F112" s="34" t="s">
        <v>101</v>
      </c>
      <c r="G112" s="34" t="s">
        <v>103</v>
      </c>
      <c r="H112" s="35" t="s">
        <v>108</v>
      </c>
      <c r="I112" s="35" t="s">
        <v>111</v>
      </c>
      <c r="J112" s="13" t="s">
        <v>72</v>
      </c>
      <c r="K112" s="13" t="str">
        <f>VLOOKUP(B112,Sheet1!$A:$D,2,FALSE)</f>
        <v>Yes</v>
      </c>
      <c r="L112" s="13" t="str">
        <f>VLOOKUP(B112,Sheet1!$A:$D,3,FALSE)</f>
        <v>No</v>
      </c>
      <c r="M112" s="13" t="str">
        <f>VLOOKUP(B112,Sheet1!$A:$D,4,FALSE)</f>
        <v>No</v>
      </c>
      <c r="N112" s="9">
        <v>12.5</v>
      </c>
      <c r="O112" s="13" t="str">
        <f t="shared" ref="O112" si="205">IF(LEN(Q112)=12,"UPC",IF(LEN(Q112)&gt;12,"EAN",""))</f>
        <v>EAN</v>
      </c>
      <c r="P112" s="13" t="str">
        <f t="shared" ref="P112" si="206">IF(ISNUMBER(SEARCH("Gift",AG112)),"Gift Box","")</f>
        <v/>
      </c>
      <c r="Q112" s="36" t="s">
        <v>90</v>
      </c>
      <c r="R112" s="36" t="s">
        <v>22</v>
      </c>
      <c r="S112" s="22">
        <v>3.23</v>
      </c>
      <c r="T112" s="22">
        <v>11.9</v>
      </c>
      <c r="U112" s="22">
        <v>3.8</v>
      </c>
      <c r="V112" s="22">
        <v>12</v>
      </c>
      <c r="W112" s="22">
        <v>11</v>
      </c>
      <c r="X112" s="22">
        <v>7</v>
      </c>
      <c r="Y112" s="13">
        <v>23</v>
      </c>
      <c r="Z112" s="22">
        <f t="shared" ref="Z112" si="207">IF(V112&gt;0,(V112*W112*X112)/1728,"")</f>
        <v>0.53472222222222221</v>
      </c>
      <c r="AA112" s="13">
        <v>12</v>
      </c>
      <c r="AB112" s="13">
        <v>7</v>
      </c>
      <c r="AC112" s="13">
        <v>84</v>
      </c>
      <c r="AD112" s="13">
        <f t="shared" ref="AD112" si="208">IF(AB112&gt;0,AB112*X112,"")</f>
        <v>49</v>
      </c>
      <c r="AE112" s="13">
        <f t="shared" ref="AE112" si="209">IF(Y112&gt;0,Y112*(AA112*AB112),"")</f>
        <v>1932</v>
      </c>
      <c r="AG112" s="28" t="s">
        <v>74</v>
      </c>
    </row>
    <row r="113" spans="1:33" x14ac:dyDescent="0.25">
      <c r="A113" s="10" t="e">
        <f>IF(#REF!=0,"Hide","Show")</f>
        <v>#REF!</v>
      </c>
      <c r="B113" s="32" t="s">
        <v>46</v>
      </c>
      <c r="C113" s="33" t="s">
        <v>80</v>
      </c>
      <c r="D113" s="34">
        <v>6</v>
      </c>
      <c r="E113" s="34">
        <v>750</v>
      </c>
      <c r="F113" s="34" t="s">
        <v>96</v>
      </c>
      <c r="G113" s="34" t="s">
        <v>103</v>
      </c>
      <c r="H113" s="35" t="s">
        <v>109</v>
      </c>
      <c r="I113" s="35" t="s">
        <v>111</v>
      </c>
      <c r="J113" s="13" t="s">
        <v>72</v>
      </c>
      <c r="K113" s="13" t="str">
        <f>VLOOKUP(B113,Sheet1!$A:$D,2,FALSE)</f>
        <v>Yes</v>
      </c>
      <c r="L113" s="13" t="str">
        <f>VLOOKUP(B113,Sheet1!$A:$D,3,FALSE)</f>
        <v>No</v>
      </c>
      <c r="M113" s="13" t="str">
        <f>VLOOKUP(B113,Sheet1!$A:$D,4,FALSE)</f>
        <v>No</v>
      </c>
      <c r="N113" s="9">
        <v>13</v>
      </c>
      <c r="O113" s="13" t="str">
        <f t="shared" ref="O113" si="210">IF(LEN(Q113)=12,"UPC",IF(LEN(Q113)&gt;12,"EAN",""))</f>
        <v>EAN</v>
      </c>
      <c r="P113" s="13" t="str">
        <f t="shared" ref="P113" si="211">IF(ISNUMBER(SEARCH("Gift",AG113)),"Gift Box","")</f>
        <v/>
      </c>
      <c r="Q113" s="36" t="s">
        <v>91</v>
      </c>
      <c r="R113" s="36" t="s">
        <v>22</v>
      </c>
      <c r="S113" s="22">
        <v>3.23</v>
      </c>
      <c r="T113" s="22">
        <v>11.9</v>
      </c>
      <c r="U113" s="22">
        <v>3.8333299999999997</v>
      </c>
      <c r="V113" s="22">
        <v>12</v>
      </c>
      <c r="W113" s="22">
        <v>11</v>
      </c>
      <c r="X113" s="22">
        <v>7</v>
      </c>
      <c r="Y113" s="13">
        <v>23</v>
      </c>
      <c r="Z113" s="22">
        <f t="shared" ref="Z113" si="212">IF(V113&gt;0,(V113*W113*X113)/1728,"")</f>
        <v>0.53472222222222221</v>
      </c>
      <c r="AA113" s="13">
        <v>12</v>
      </c>
      <c r="AB113" s="13">
        <v>7</v>
      </c>
      <c r="AC113" s="13">
        <v>84</v>
      </c>
      <c r="AD113" s="13">
        <f t="shared" ref="AD113" si="213">IF(AB113&gt;0,AB113*X113,"")</f>
        <v>49</v>
      </c>
      <c r="AE113" s="13">
        <f t="shared" ref="AE113" si="214">IF(Y113&gt;0,Y113*(AA113*AB113),"")</f>
        <v>1932</v>
      </c>
      <c r="AG113" s="28" t="s">
        <v>74</v>
      </c>
    </row>
    <row r="114" spans="1:33" ht="6" customHeight="1" x14ac:dyDescent="0.25">
      <c r="B114" s="15"/>
      <c r="C114" s="12"/>
      <c r="D114" s="12"/>
      <c r="E114" s="12"/>
      <c r="F114" s="19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24"/>
      <c r="T114" s="24"/>
      <c r="U114" s="24"/>
      <c r="V114" s="24"/>
      <c r="W114" s="24"/>
      <c r="X114" s="24"/>
      <c r="Y114" s="12"/>
      <c r="Z114" s="12"/>
      <c r="AA114" s="12"/>
      <c r="AB114" s="12"/>
      <c r="AC114" s="12"/>
      <c r="AD114" s="12"/>
      <c r="AE114" s="12"/>
      <c r="AG114" s="27"/>
    </row>
    <row r="115" spans="1:33" x14ac:dyDescent="0.25">
      <c r="B115" s="21" t="str">
        <f>"OTHER"</f>
        <v>OTHER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23"/>
      <c r="T115" s="23"/>
      <c r="U115" s="23"/>
      <c r="V115" s="23"/>
      <c r="W115" s="23"/>
      <c r="X115" s="23"/>
      <c r="Y115" s="11"/>
      <c r="Z115" s="11"/>
      <c r="AA115" s="11"/>
      <c r="AB115" s="11"/>
      <c r="AC115" s="11"/>
      <c r="AD115" s="11"/>
      <c r="AE115" s="11"/>
      <c r="AG115" s="28"/>
    </row>
    <row r="116" spans="1:33" x14ac:dyDescent="0.25">
      <c r="A116" s="10" t="e">
        <f>IF(#REF!=0,"Hide","Show")</f>
        <v>#REF!</v>
      </c>
      <c r="B116" s="32" t="s">
        <v>46</v>
      </c>
      <c r="C116" s="33" t="s">
        <v>81</v>
      </c>
      <c r="D116" s="34">
        <v>6</v>
      </c>
      <c r="E116" s="34">
        <v>750</v>
      </c>
      <c r="F116" s="34" t="s">
        <v>102</v>
      </c>
      <c r="G116" s="34" t="s">
        <v>103</v>
      </c>
      <c r="H116" s="35" t="s">
        <v>110</v>
      </c>
      <c r="I116" s="35" t="s">
        <v>111</v>
      </c>
      <c r="J116" s="13" t="s">
        <v>72</v>
      </c>
      <c r="K116" s="13" t="str">
        <f>VLOOKUP(B116,Sheet1!$A:$D,2,FALSE)</f>
        <v>Yes</v>
      </c>
      <c r="L116" s="13" t="str">
        <f>VLOOKUP(B116,Sheet1!$A:$D,3,FALSE)</f>
        <v>No</v>
      </c>
      <c r="M116" s="13" t="str">
        <f>VLOOKUP(B116,Sheet1!$A:$D,4,FALSE)</f>
        <v>No</v>
      </c>
      <c r="N116" s="9">
        <v>13</v>
      </c>
      <c r="O116" s="13" t="str">
        <f t="shared" ref="O116:O117" si="215">IF(LEN(Q116)=12,"UPC",IF(LEN(Q116)&gt;12,"EAN",""))</f>
        <v/>
      </c>
      <c r="P116" s="13" t="str">
        <f t="shared" ref="P116:P117" si="216">IF(ISNUMBER(SEARCH("Gift",AG116)),"Gift Box","")</f>
        <v/>
      </c>
      <c r="Q116" s="36" t="s">
        <v>22</v>
      </c>
      <c r="R116" s="36" t="s">
        <v>22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13">
        <v>0</v>
      </c>
      <c r="Z116" s="22" t="str">
        <f t="shared" ref="Z116:Z117" si="217">IF(V116&gt;0,(V116*W116*X116)/1728,"")</f>
        <v/>
      </c>
      <c r="AA116" s="13">
        <v>7</v>
      </c>
      <c r="AB116" s="13">
        <v>7</v>
      </c>
      <c r="AC116" s="13">
        <v>49</v>
      </c>
      <c r="AD116" s="13">
        <f t="shared" ref="AD116:AD117" si="218">IF(AB116&gt;0,AB116*X116,"")</f>
        <v>0</v>
      </c>
      <c r="AE116" s="13" t="str">
        <f t="shared" ref="AE116:AE117" si="219">IF(Y116&gt;0,Y116*(AA116*AB116),"")</f>
        <v/>
      </c>
      <c r="AG116" s="28" t="s">
        <v>73</v>
      </c>
    </row>
    <row r="117" spans="1:33" ht="6" customHeight="1" x14ac:dyDescent="0.25">
      <c r="B117" s="15"/>
      <c r="C117" s="12"/>
      <c r="D117" s="12"/>
      <c r="E117" s="12"/>
      <c r="F117" s="19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24"/>
      <c r="T117" s="24"/>
      <c r="U117" s="24"/>
      <c r="V117" s="24"/>
      <c r="W117" s="24"/>
      <c r="X117" s="24"/>
      <c r="Y117" s="12"/>
      <c r="Z117" s="12"/>
      <c r="AA117" s="12"/>
      <c r="AB117" s="12"/>
      <c r="AC117" s="12"/>
      <c r="AD117" s="12"/>
      <c r="AE117" s="12"/>
      <c r="AG117" s="27"/>
    </row>
    <row r="118" spans="1:33" x14ac:dyDescent="0.25">
      <c r="B118" s="16"/>
      <c r="C118" s="20"/>
      <c r="D118" s="17"/>
      <c r="E118" s="20"/>
      <c r="F118" s="17"/>
      <c r="G118" s="17"/>
      <c r="H118" s="17"/>
      <c r="I118" s="17"/>
      <c r="J118" s="17"/>
      <c r="K118" s="17"/>
      <c r="L118" s="17"/>
      <c r="M118" s="17"/>
      <c r="N118" s="20"/>
      <c r="O118" s="20"/>
      <c r="P118" s="20"/>
      <c r="Q118" s="20"/>
      <c r="R118" s="20"/>
      <c r="S118" s="25"/>
      <c r="T118" s="25"/>
      <c r="U118" s="25"/>
      <c r="V118" s="25"/>
      <c r="W118" s="25"/>
      <c r="X118" s="25"/>
      <c r="Y118" s="20"/>
      <c r="Z118" s="20"/>
      <c r="AA118" s="20"/>
      <c r="AB118" s="20"/>
      <c r="AC118" s="20"/>
      <c r="AD118" s="20"/>
      <c r="AE118" s="20"/>
      <c r="AG118" s="27"/>
    </row>
    <row r="119" spans="1:33" ht="6" customHeight="1" x14ac:dyDescent="0.25"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23"/>
      <c r="T119" s="23"/>
      <c r="U119" s="23"/>
      <c r="V119" s="23"/>
      <c r="W119" s="23"/>
      <c r="X119" s="23"/>
      <c r="Y119" s="11"/>
      <c r="Z119" s="11"/>
      <c r="AA119" s="11"/>
      <c r="AB119" s="11"/>
      <c r="AC119" s="11"/>
      <c r="AD119" s="11"/>
      <c r="AE119" s="11"/>
      <c r="AG119" s="27"/>
    </row>
    <row r="120" spans="1:33" x14ac:dyDescent="0.25">
      <c r="B120" s="10"/>
      <c r="E120" s="10"/>
      <c r="N120" s="10"/>
      <c r="O120" s="10"/>
      <c r="P120" s="10"/>
      <c r="Q120" s="10"/>
      <c r="R120" s="10"/>
      <c r="S120" s="6"/>
      <c r="T120" s="6"/>
      <c r="U120" s="6"/>
      <c r="V120" s="6"/>
      <c r="W120" s="6"/>
      <c r="X120" s="6"/>
      <c r="Y120" s="10"/>
      <c r="Z120" s="10"/>
      <c r="AA120" s="10"/>
      <c r="AB120" s="10"/>
      <c r="AD120" s="10"/>
      <c r="AE120" s="10"/>
      <c r="AG120" s="27"/>
    </row>
    <row r="121" spans="1:33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8"/>
      <c r="T121" s="8"/>
      <c r="U121" s="8"/>
      <c r="V121" s="8"/>
      <c r="W121" s="8"/>
      <c r="X121" s="8"/>
      <c r="Y121" s="18"/>
      <c r="Z121" s="18"/>
      <c r="AA121" s="18"/>
      <c r="AB121" s="18"/>
      <c r="AC121" s="18"/>
      <c r="AD121" s="18"/>
      <c r="AE121" s="18"/>
      <c r="AG121" s="27"/>
    </row>
    <row r="122" spans="1:33" x14ac:dyDescent="0.25">
      <c r="E122" s="10"/>
      <c r="N122" s="10"/>
      <c r="O122" s="10"/>
      <c r="P122" s="10"/>
      <c r="Q122" s="10"/>
      <c r="R122" s="10"/>
      <c r="S122" s="6"/>
      <c r="T122" s="6"/>
      <c r="U122" s="6"/>
      <c r="V122" s="6"/>
      <c r="W122" s="6"/>
      <c r="X122" s="6"/>
      <c r="Y122" s="10"/>
      <c r="Z122" s="10"/>
      <c r="AA122" s="10"/>
      <c r="AB122" s="10"/>
      <c r="AD122" s="10"/>
      <c r="AE122" s="10"/>
      <c r="AG122" s="27"/>
    </row>
    <row r="123" spans="1:33" x14ac:dyDescent="0.25">
      <c r="E123" s="10"/>
      <c r="N123" s="10"/>
      <c r="O123" s="10"/>
      <c r="P123" s="10"/>
      <c r="Q123" s="10"/>
      <c r="R123" s="10"/>
      <c r="S123" s="6"/>
      <c r="T123" s="6"/>
      <c r="U123" s="6"/>
      <c r="V123" s="6"/>
      <c r="W123" s="6"/>
      <c r="X123" s="6"/>
      <c r="Y123" s="10"/>
      <c r="Z123" s="10"/>
      <c r="AA123" s="10"/>
      <c r="AB123" s="10"/>
      <c r="AD123" s="10"/>
      <c r="AE123" s="10"/>
      <c r="AG123" s="27"/>
    </row>
    <row r="124" spans="1:33" x14ac:dyDescent="0.25">
      <c r="E124" s="10"/>
      <c r="N124" s="10"/>
      <c r="O124" s="10"/>
      <c r="P124" s="10"/>
      <c r="Q124" s="10"/>
      <c r="R124" s="10"/>
      <c r="S124" s="6"/>
      <c r="T124" s="6"/>
      <c r="U124" s="6"/>
      <c r="V124" s="6"/>
      <c r="W124" s="6"/>
      <c r="X124" s="6"/>
      <c r="Y124" s="10"/>
      <c r="Z124" s="10"/>
      <c r="AA124" s="10"/>
      <c r="AB124" s="10"/>
      <c r="AD124" s="10"/>
      <c r="AE124" s="10"/>
      <c r="AG124" s="27"/>
    </row>
    <row r="125" spans="1:33" x14ac:dyDescent="0.25">
      <c r="E125" s="10"/>
      <c r="N125" s="10"/>
      <c r="O125" s="10"/>
      <c r="P125" s="10"/>
      <c r="Q125" s="10"/>
      <c r="R125" s="10"/>
      <c r="S125" s="6"/>
      <c r="T125" s="6"/>
      <c r="U125" s="6"/>
      <c r="V125" s="6"/>
      <c r="W125" s="6"/>
      <c r="X125" s="6"/>
      <c r="Y125" s="10"/>
      <c r="Z125" s="10"/>
      <c r="AA125" s="10"/>
      <c r="AB125" s="10"/>
      <c r="AD125" s="10"/>
      <c r="AE125" s="10"/>
      <c r="AG125" s="27"/>
    </row>
    <row r="126" spans="1:33" x14ac:dyDescent="0.25">
      <c r="AG126" s="27"/>
    </row>
    <row r="127" spans="1:33" x14ac:dyDescent="0.25">
      <c r="AG127" s="27"/>
    </row>
    <row r="128" spans="1:33" x14ac:dyDescent="0.25">
      <c r="AG128" s="27"/>
    </row>
    <row r="129" spans="33:33" x14ac:dyDescent="0.25">
      <c r="AG129" s="27"/>
    </row>
    <row r="130" spans="33:33" x14ac:dyDescent="0.25">
      <c r="AG130" s="27"/>
    </row>
    <row r="131" spans="33:33" x14ac:dyDescent="0.25">
      <c r="AG131" s="27"/>
    </row>
    <row r="132" spans="33:33" x14ac:dyDescent="0.25">
      <c r="AG132" s="27"/>
    </row>
    <row r="133" spans="33:33" x14ac:dyDescent="0.25">
      <c r="AG133" s="27"/>
    </row>
    <row r="134" spans="33:33" x14ac:dyDescent="0.25">
      <c r="AG134" s="27"/>
    </row>
    <row r="135" spans="33:33" x14ac:dyDescent="0.25">
      <c r="AG135" s="27"/>
    </row>
    <row r="136" spans="33:33" x14ac:dyDescent="0.25">
      <c r="AG136" s="27"/>
    </row>
    <row r="137" spans="33:33" x14ac:dyDescent="0.25">
      <c r="AG137" s="27"/>
    </row>
    <row r="138" spans="33:33" x14ac:dyDescent="0.25">
      <c r="AG138" s="27"/>
    </row>
  </sheetData>
  <mergeCells count="1">
    <mergeCell ref="B1:C1"/>
  </mergeCells>
  <conditionalFormatting sqref="S5:Y5 AA5:AB5">
    <cfRule type="cellIs" dxfId="32" priority="33" operator="lessThan">
      <formula>0</formula>
    </cfRule>
  </conditionalFormatting>
  <conditionalFormatting sqref="S9:Y9 S13:Y13 S16:Y16 S24:Y24 S40:Y40 S47:Y47 S57:Y57 S61:Y61 S64:Y64 S67:Y67 S94:Y94 S97:Y97 S111:Y111 S116:Y116 AA9:AB9 AA13:AB13 AA16:AB16 AA24:AB24 AA40:AB40 AA47:AB47 AA57:AB57 AA61:AB61 AA64:AB64 AA67:AB67 AA94:AB94 AA97:AB97 AA111:AB111 AA116:AB116">
    <cfRule type="cellIs" dxfId="31" priority="32" operator="lessThan">
      <formula>0</formula>
    </cfRule>
  </conditionalFormatting>
  <conditionalFormatting sqref="S113:Y113 AA113:AB113">
    <cfRule type="cellIs" dxfId="30" priority="31" operator="lessThan">
      <formula>0</formula>
    </cfRule>
  </conditionalFormatting>
  <conditionalFormatting sqref="S99:Y101 AA99:AB101 AA106:AB108 S106:Y108 AA104:AB104 S104:Y104">
    <cfRule type="cellIs" dxfId="29" priority="30" operator="lessThan">
      <formula>0</formula>
    </cfRule>
  </conditionalFormatting>
  <conditionalFormatting sqref="S69:Y70 AA69:AB70 AA87:AB88 S87:Y88 AA83:AB84 S83:Y84 AA80:AB80 S80:Y80 AA78:AB78 S78:Y78 AA75:AB76 S75:Y76">
    <cfRule type="cellIs" dxfId="28" priority="29" operator="lessThan">
      <formula>0</formula>
    </cfRule>
  </conditionalFormatting>
  <conditionalFormatting sqref="S50:Y51 AA50:AB51 AA53:AB54 S53:Y54">
    <cfRule type="cellIs" dxfId="27" priority="28" operator="lessThan">
      <formula>0</formula>
    </cfRule>
  </conditionalFormatting>
  <conditionalFormatting sqref="S43:Y44 AA43:AB44">
    <cfRule type="cellIs" dxfId="26" priority="27" operator="lessThan">
      <formula>0</formula>
    </cfRule>
  </conditionalFormatting>
  <conditionalFormatting sqref="S25:Y25 AA25:AB25 AA36:AB37 S36:Y37 AA34:AB34 S34:Y34 AA32:AB32 S32:Y32 AA30:AB30 S30:Y30 AA27:AB28 S27:Y28">
    <cfRule type="cellIs" dxfId="25" priority="26" operator="lessThan">
      <formula>0</formula>
    </cfRule>
  </conditionalFormatting>
  <conditionalFormatting sqref="S19:Y19 AA19:AB19 AA21:AB21 S21:Y21">
    <cfRule type="cellIs" dxfId="24" priority="25" operator="lessThan">
      <formula>0</formula>
    </cfRule>
  </conditionalFormatting>
  <conditionalFormatting sqref="S6:Y6 AA6:AB6">
    <cfRule type="cellIs" dxfId="23" priority="24" operator="lessThan">
      <formula>0</formula>
    </cfRule>
  </conditionalFormatting>
  <conditionalFormatting sqref="S112:Y112 AA112:AB112">
    <cfRule type="cellIs" dxfId="22" priority="23" operator="lessThan">
      <formula>0</formula>
    </cfRule>
  </conditionalFormatting>
  <conditionalFormatting sqref="S98:Y98 AA98:AB98">
    <cfRule type="cellIs" dxfId="21" priority="22" operator="lessThan">
      <formula>0</formula>
    </cfRule>
  </conditionalFormatting>
  <conditionalFormatting sqref="S105:Y105 AA105:AB105">
    <cfRule type="cellIs" dxfId="20" priority="21" operator="lessThan">
      <formula>0</formula>
    </cfRule>
  </conditionalFormatting>
  <conditionalFormatting sqref="S102:Y103 AA102:AB103">
    <cfRule type="cellIs" dxfId="19" priority="20" operator="lessThan">
      <formula>0</formula>
    </cfRule>
  </conditionalFormatting>
  <conditionalFormatting sqref="S68:Y68 AA68:AB68">
    <cfRule type="cellIs" dxfId="18" priority="19" operator="lessThan">
      <formula>0</formula>
    </cfRule>
  </conditionalFormatting>
  <conditionalFormatting sqref="S89:Y91 AA89:AB91">
    <cfRule type="cellIs" dxfId="17" priority="18" operator="lessThan">
      <formula>0</formula>
    </cfRule>
  </conditionalFormatting>
  <conditionalFormatting sqref="S85:Y86 AA85:AB86">
    <cfRule type="cellIs" dxfId="16" priority="17" operator="lessThan">
      <formula>0</formula>
    </cfRule>
  </conditionalFormatting>
  <conditionalFormatting sqref="S81:Y82 AA81:AB82">
    <cfRule type="cellIs" dxfId="15" priority="16" operator="lessThan">
      <formula>0</formula>
    </cfRule>
  </conditionalFormatting>
  <conditionalFormatting sqref="S79:Y79 AA79:AB79">
    <cfRule type="cellIs" dxfId="14" priority="15" operator="lessThan">
      <formula>0</formula>
    </cfRule>
  </conditionalFormatting>
  <conditionalFormatting sqref="S77:Y77 AA77:AB77">
    <cfRule type="cellIs" dxfId="13" priority="14" operator="lessThan">
      <formula>0</formula>
    </cfRule>
  </conditionalFormatting>
  <conditionalFormatting sqref="S71:Y74 AA71:AB74">
    <cfRule type="cellIs" dxfId="12" priority="13" operator="lessThan">
      <formula>0</formula>
    </cfRule>
  </conditionalFormatting>
  <conditionalFormatting sqref="S58:Y58 AA58:AB58">
    <cfRule type="cellIs" dxfId="11" priority="12" operator="lessThan">
      <formula>0</formula>
    </cfRule>
  </conditionalFormatting>
  <conditionalFormatting sqref="S48:Y49 AA48:AB49">
    <cfRule type="cellIs" dxfId="10" priority="11" operator="lessThan">
      <formula>0</formula>
    </cfRule>
  </conditionalFormatting>
  <conditionalFormatting sqref="S52:Y52 AA52:AB52">
    <cfRule type="cellIs" dxfId="9" priority="10" operator="lessThan">
      <formula>0</formula>
    </cfRule>
  </conditionalFormatting>
  <conditionalFormatting sqref="S41:Y42 AA41:AB42">
    <cfRule type="cellIs" dxfId="8" priority="9" operator="lessThan">
      <formula>0</formula>
    </cfRule>
  </conditionalFormatting>
  <conditionalFormatting sqref="S35:Y35 AA35:AB35">
    <cfRule type="cellIs" dxfId="7" priority="8" operator="lessThan">
      <formula>0</formula>
    </cfRule>
  </conditionalFormatting>
  <conditionalFormatting sqref="S33:Y33 AA33:AB33">
    <cfRule type="cellIs" dxfId="6" priority="7" operator="lessThan">
      <formula>0</formula>
    </cfRule>
  </conditionalFormatting>
  <conditionalFormatting sqref="S31:Y31 AA31:AB31">
    <cfRule type="cellIs" dxfId="5" priority="6" operator="lessThan">
      <formula>0</formula>
    </cfRule>
  </conditionalFormatting>
  <conditionalFormatting sqref="S29:Y29 AA29:AB29">
    <cfRule type="cellIs" dxfId="4" priority="5" operator="lessThan">
      <formula>0</formula>
    </cfRule>
  </conditionalFormatting>
  <conditionalFormatting sqref="S26:Y26 AA26:AB26">
    <cfRule type="cellIs" dxfId="3" priority="4" operator="lessThan">
      <formula>0</formula>
    </cfRule>
  </conditionalFormatting>
  <conditionalFormatting sqref="S17:Y18 AA17:AB18">
    <cfRule type="cellIs" dxfId="2" priority="3" operator="lessThan">
      <formula>0</formula>
    </cfRule>
  </conditionalFormatting>
  <conditionalFormatting sqref="S20:Y20 AA20:AB20">
    <cfRule type="cellIs" dxfId="1" priority="2" operator="lessThan">
      <formula>0</formula>
    </cfRule>
  </conditionalFormatting>
  <conditionalFormatting sqref="S10:Y10 AA10:AB10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